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5540" windowHeight="13800" activeTab="3"/>
  </bookViews>
  <sheets>
    <sheet name="Income Budget 15-16" sheetId="1" r:id="rId1"/>
    <sheet name="Expense Budget 15-16" sheetId="2" r:id="rId2"/>
    <sheet name="TreasurersReport" sheetId="3" r:id="rId3"/>
    <sheet name="Revised Treasurers Report" sheetId="4" r:id="rId4"/>
    <sheet name="Teacher Stipends" sheetId="5" r:id="rId5"/>
    <sheet name="Teacher party budget" sheetId="6" r:id="rId6"/>
    <sheet name="Expense info" sheetId="7" r:id="rId7"/>
    <sheet name="New" sheetId="8" r:id="rId8"/>
  </sheets>
  <definedNames/>
  <calcPr fullCalcOnLoad="1"/>
</workbook>
</file>

<file path=xl/sharedStrings.xml><?xml version="1.0" encoding="utf-8"?>
<sst xmlns="http://schemas.openxmlformats.org/spreadsheetml/2006/main" count="303" uniqueCount="204">
  <si>
    <t>Expenses</t>
  </si>
  <si>
    <t>Classroom Support</t>
  </si>
  <si>
    <t>Teacher Stipends</t>
  </si>
  <si>
    <t>PE Specialist</t>
  </si>
  <si>
    <t>Music Specialist</t>
  </si>
  <si>
    <t>Resource Room</t>
  </si>
  <si>
    <t>Staff Education</t>
  </si>
  <si>
    <t>Health Screening</t>
  </si>
  <si>
    <t>Total Classroom Support</t>
  </si>
  <si>
    <t>Educational Enrichment</t>
  </si>
  <si>
    <t>Art Literacy</t>
  </si>
  <si>
    <t>Accelerated Reading/Math</t>
  </si>
  <si>
    <t>On the Move</t>
  </si>
  <si>
    <t>Assemblies</t>
  </si>
  <si>
    <t>Landscape</t>
  </si>
  <si>
    <t>Total Educational Enrichment</t>
  </si>
  <si>
    <t>Administrative Support</t>
  </si>
  <si>
    <t>Directory Printing</t>
  </si>
  <si>
    <t>Treasurer's Fund</t>
  </si>
  <si>
    <t>Insurance</t>
  </si>
  <si>
    <t>Service Charges</t>
  </si>
  <si>
    <t>President's Fund</t>
  </si>
  <si>
    <t>Volunteer Fund</t>
  </si>
  <si>
    <t>Total Administrative Support</t>
  </si>
  <si>
    <t>Battle of the Books</t>
  </si>
  <si>
    <t>Tax Consultant</t>
  </si>
  <si>
    <t>Health Room</t>
  </si>
  <si>
    <t>Speech Pathologist</t>
  </si>
  <si>
    <t>Library Specialist</t>
  </si>
  <si>
    <t>Reading A-Z</t>
  </si>
  <si>
    <t xml:space="preserve">Total Expenses </t>
  </si>
  <si>
    <t>ESL</t>
  </si>
  <si>
    <t>Staff Appreciation</t>
  </si>
  <si>
    <t>Income Source</t>
  </si>
  <si>
    <t>T-Shirts</t>
  </si>
  <si>
    <t>Let's Eat Out</t>
  </si>
  <si>
    <t>Box Tops</t>
  </si>
  <si>
    <t>Total Income</t>
  </si>
  <si>
    <t>Scrip</t>
  </si>
  <si>
    <t>Misc.</t>
  </si>
  <si>
    <t>Art Lit. Donations</t>
  </si>
  <si>
    <t>Turkey Trot</t>
  </si>
  <si>
    <t>General donation</t>
  </si>
  <si>
    <t>Parent Directory</t>
  </si>
  <si>
    <t>E-Scrip</t>
  </si>
  <si>
    <t>Tae Kwon Do</t>
  </si>
  <si>
    <t>Bingo Night</t>
  </si>
  <si>
    <t>Toy night</t>
  </si>
  <si>
    <t>% of Total</t>
  </si>
  <si>
    <t>Interest Money Market</t>
  </si>
  <si>
    <t>Pledge-a-thon</t>
  </si>
  <si>
    <t>Corporate Filing Fees</t>
  </si>
  <si>
    <t>Principal Fund</t>
  </si>
  <si>
    <t>Principal Scholarship</t>
  </si>
  <si>
    <t>Technology Specialist</t>
  </si>
  <si>
    <t>Butterflies</t>
  </si>
  <si>
    <t>Chicks</t>
  </si>
  <si>
    <t>5th Grade Celebration</t>
  </si>
  <si>
    <t>Wrapping Sales</t>
  </si>
  <si>
    <t>Brain POP</t>
  </si>
  <si>
    <t>Lewis &amp; Clark Presentation</t>
  </si>
  <si>
    <t>BTS Picnic</t>
  </si>
  <si>
    <t>Difference</t>
  </si>
  <si>
    <t>Remaining</t>
  </si>
  <si>
    <t>Jog-a-thon</t>
  </si>
  <si>
    <t>Social Studies/Native Amer.</t>
  </si>
  <si>
    <t>Spirit Committee</t>
  </si>
  <si>
    <t>Web/Email Fees</t>
  </si>
  <si>
    <t>Musical</t>
  </si>
  <si>
    <t>Ceramics</t>
  </si>
  <si>
    <t>On-The-Move</t>
  </si>
  <si>
    <t>4th Grade</t>
  </si>
  <si>
    <t>Budget 2014 / 2015</t>
  </si>
  <si>
    <t>Frogs/Butterflies</t>
  </si>
  <si>
    <t>Legacy Project</t>
  </si>
  <si>
    <t>Community Education</t>
  </si>
  <si>
    <t>Science STEM</t>
  </si>
  <si>
    <t>Green Team</t>
  </si>
  <si>
    <t>Movie Night/Sock Hop</t>
  </si>
  <si>
    <t>2014-15 Budget</t>
  </si>
  <si>
    <t>Actuals 14-15</t>
  </si>
  <si>
    <t>Budget 2015 / 2016</t>
  </si>
  <si>
    <t>as of 6/30/15</t>
  </si>
  <si>
    <t>2015-16 Actual</t>
  </si>
  <si>
    <t>Field Day</t>
  </si>
  <si>
    <t>Science Curriculum K-2</t>
  </si>
  <si>
    <t>Field Trips</t>
  </si>
  <si>
    <t>Starfall</t>
  </si>
  <si>
    <t>Art Carts</t>
  </si>
  <si>
    <t>Destination Imagination</t>
  </si>
  <si>
    <t>Family Events</t>
  </si>
  <si>
    <t>Typing Agent</t>
  </si>
  <si>
    <t>Track &amp; Field ALC</t>
  </si>
  <si>
    <t>Requests for Funds - Fall</t>
  </si>
  <si>
    <t>Requests for Funds - Spring</t>
  </si>
  <si>
    <t>Hospitality</t>
  </si>
  <si>
    <t>2014-15 Actual</t>
  </si>
  <si>
    <t>Room Budget</t>
  </si>
  <si>
    <t>Oak Hills PTO</t>
  </si>
  <si>
    <t>Treasurer's Report</t>
  </si>
  <si>
    <t>Total Assets:</t>
  </si>
  <si>
    <t>Checking - Chase</t>
  </si>
  <si>
    <t>Money Market - Chase</t>
  </si>
  <si>
    <t>PayPal</t>
  </si>
  <si>
    <t>Estimated Liabilities</t>
  </si>
  <si>
    <t>Operating Budget (2015-2016 Budget)</t>
  </si>
  <si>
    <t>Reserve Funds</t>
  </si>
  <si>
    <t>Fundraising for 2016 - 2017 School Year</t>
  </si>
  <si>
    <t>Total Estimated Liabilities</t>
  </si>
  <si>
    <t>General non-allocated/budgeted Funds</t>
  </si>
  <si>
    <t>Notes:</t>
  </si>
  <si>
    <t>Budgeted Expenses 2015-2016</t>
  </si>
  <si>
    <t>2015-2016 Oak Hills PTO Budget</t>
  </si>
  <si>
    <t>Fundraising</t>
  </si>
  <si>
    <t>Jogathon</t>
  </si>
  <si>
    <t>DNO</t>
  </si>
  <si>
    <t>Grants</t>
  </si>
  <si>
    <t>T-shirts</t>
  </si>
  <si>
    <t>Activity Category</t>
  </si>
  <si>
    <t>2014-2015</t>
  </si>
  <si>
    <t>Category Subtotals</t>
  </si>
  <si>
    <t>% of Total Budget</t>
  </si>
  <si>
    <t>Staff/Class/Grade Support</t>
  </si>
  <si>
    <t>Total</t>
  </si>
  <si>
    <t>Science &amp; Math Enrichment</t>
  </si>
  <si>
    <t>Health, Fitness, Safety Enrichment</t>
  </si>
  <si>
    <t>General Education Enrichment</t>
  </si>
  <si>
    <t>Biz-Town 5th Grade Education Program</t>
  </si>
  <si>
    <t>Community Events/Service</t>
  </si>
  <si>
    <t>Parent Teacher Conferences - Meals</t>
  </si>
  <si>
    <t>Back to School Picnic</t>
  </si>
  <si>
    <t>5th grade party send-off donation</t>
  </si>
  <si>
    <t>School Spirit Events</t>
  </si>
  <si>
    <t>PTO Business Costs</t>
  </si>
  <si>
    <t>PTO Insurance</t>
  </si>
  <si>
    <t>Tax Preparation</t>
  </si>
  <si>
    <t>Volunteer Program</t>
  </si>
  <si>
    <t>Art Lit Donation</t>
  </si>
  <si>
    <t>OTM Donation</t>
  </si>
  <si>
    <t>General Donation</t>
  </si>
  <si>
    <t>Total Activity Budget</t>
  </si>
  <si>
    <t>On The Move</t>
  </si>
  <si>
    <t>STEM</t>
  </si>
  <si>
    <t>OBOB</t>
  </si>
  <si>
    <t>Arts &amp; Educational Enrichment</t>
  </si>
  <si>
    <t>Request for Funds - Fall</t>
  </si>
  <si>
    <t>Request for Funds - Spring</t>
  </si>
  <si>
    <t>Web/Email fees</t>
  </si>
  <si>
    <t>2014-15 jogathon total</t>
  </si>
  <si>
    <t>2015-16 JAT total</t>
  </si>
  <si>
    <t>2015-2016</t>
  </si>
  <si>
    <t>Teacher</t>
  </si>
  <si>
    <t>Students</t>
  </si>
  <si>
    <t>Allocation</t>
  </si>
  <si>
    <t>Paid</t>
  </si>
  <si>
    <t>Total Paid</t>
  </si>
  <si>
    <t>Caplan</t>
  </si>
  <si>
    <t>Hoffman</t>
  </si>
  <si>
    <t>Jeffrey</t>
  </si>
  <si>
    <t>Moran</t>
  </si>
  <si>
    <t>Grover</t>
  </si>
  <si>
    <t>Guerra</t>
  </si>
  <si>
    <t>Kane</t>
  </si>
  <si>
    <t>Selby</t>
  </si>
  <si>
    <t>Burnett</t>
  </si>
  <si>
    <t>Rios</t>
  </si>
  <si>
    <t>Perrigan</t>
  </si>
  <si>
    <t>Rennie</t>
  </si>
  <si>
    <t>Amorose</t>
  </si>
  <si>
    <t>Dennis</t>
  </si>
  <si>
    <t>Lester</t>
  </si>
  <si>
    <t>Blake</t>
  </si>
  <si>
    <t>Clarkson</t>
  </si>
  <si>
    <t>Cook</t>
  </si>
  <si>
    <t>Gassert</t>
  </si>
  <si>
    <t>Porter</t>
  </si>
  <si>
    <t>Gelling</t>
  </si>
  <si>
    <t>Fipps</t>
  </si>
  <si>
    <t>Mosley</t>
  </si>
  <si>
    <t>Smith</t>
  </si>
  <si>
    <t>Lee</t>
  </si>
  <si>
    <t>Therrian</t>
  </si>
  <si>
    <t>Missing</t>
  </si>
  <si>
    <t>Venable</t>
  </si>
  <si>
    <t>Janega</t>
  </si>
  <si>
    <t>Musical Expenses</t>
  </si>
  <si>
    <t>Musical Income</t>
  </si>
  <si>
    <t>STEM Expenses</t>
  </si>
  <si>
    <t>STEM Income</t>
  </si>
  <si>
    <t>General Donations</t>
  </si>
  <si>
    <t>Other</t>
  </si>
  <si>
    <t>62.94?</t>
  </si>
  <si>
    <t>New Teacher Books</t>
  </si>
  <si>
    <t>Popcorn supplies</t>
  </si>
  <si>
    <t>YTD as of April 11, 2016</t>
  </si>
  <si>
    <t>as of 04/11/16</t>
  </si>
  <si>
    <t>April 11, 2016</t>
  </si>
  <si>
    <t>Available Funds (as of April 11, 2016):</t>
  </si>
  <si>
    <t>Barn Dance</t>
  </si>
  <si>
    <t>Ray</t>
  </si>
  <si>
    <t>Popcorn</t>
  </si>
  <si>
    <t>Popcorn Jan 2016-current</t>
  </si>
  <si>
    <t>Barn Dance Expenses</t>
  </si>
  <si>
    <t>Barn Dance Income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</si>
</sst>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\-#,##0.00"/>
    <numFmt numFmtId="166" formatCode="&quot;$&quot;#,##0.00"/>
    <numFmt numFmtId="167" formatCode="[$-409]dddd\,\ mmmm\ d\,\ yyyy"/>
    <numFmt numFmtId="168" formatCode="[$-409]mmmm\ d\,\ yyyy;@"/>
    <numFmt numFmtId="169" formatCode="_(&quot;$&quot;* #,##0.0000_);_(&quot;$&quot;* \(#,##0.0000\);_(&quot;$&quot;* &quot;-&quot;??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9" fontId="1" fillId="0" borderId="0" xfId="59" applyFont="1" applyAlignment="1">
      <alignment/>
    </xf>
    <xf numFmtId="44" fontId="0" fillId="0" borderId="0" xfId="44" applyAlignment="1">
      <alignment/>
    </xf>
    <xf numFmtId="9" fontId="0" fillId="0" borderId="0" xfId="59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59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44" applyFont="1" applyBorder="1" applyAlignment="1">
      <alignment/>
    </xf>
    <xf numFmtId="9" fontId="2" fillId="0" borderId="0" xfId="59" applyFont="1" applyAlignment="1">
      <alignment/>
    </xf>
    <xf numFmtId="9" fontId="0" fillId="0" borderId="10" xfId="59" applyBorder="1" applyAlignment="1">
      <alignment/>
    </xf>
    <xf numFmtId="9" fontId="0" fillId="0" borderId="10" xfId="59" applyFont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0" fillId="0" borderId="0" xfId="59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Border="1" applyAlignment="1">
      <alignment/>
    </xf>
    <xf numFmtId="9" fontId="1" fillId="0" borderId="10" xfId="59" applyFont="1" applyBorder="1" applyAlignment="1">
      <alignment/>
    </xf>
    <xf numFmtId="44" fontId="0" fillId="0" borderId="0" xfId="44" applyFont="1" applyFill="1" applyAlignment="1">
      <alignment/>
    </xf>
    <xf numFmtId="44" fontId="0" fillId="0" borderId="11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1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1" fillId="0" borderId="12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9" fontId="1" fillId="0" borderId="0" xfId="59" applyFont="1" applyFill="1" applyBorder="1" applyAlignment="1">
      <alignment/>
    </xf>
    <xf numFmtId="44" fontId="45" fillId="0" borderId="0" xfId="44" applyFont="1" applyFill="1" applyAlignment="1">
      <alignment/>
    </xf>
    <xf numFmtId="0" fontId="0" fillId="0" borderId="0" xfId="0" applyFont="1" applyAlignment="1">
      <alignment horizontal="left"/>
    </xf>
    <xf numFmtId="14" fontId="0" fillId="0" borderId="0" xfId="44" applyNumberFormat="1" applyFont="1" applyBorder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3" fontId="5" fillId="0" borderId="0" xfId="42" applyFont="1" applyAlignment="1">
      <alignment/>
    </xf>
    <xf numFmtId="43" fontId="5" fillId="0" borderId="13" xfId="42" applyFont="1" applyBorder="1" applyAlignment="1">
      <alignment/>
    </xf>
    <xf numFmtId="43" fontId="5" fillId="0" borderId="12" xfId="42" applyFont="1" applyBorder="1" applyAlignment="1">
      <alignment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 applyAlignment="1">
      <alignment/>
    </xf>
    <xf numFmtId="44" fontId="0" fillId="0" borderId="12" xfId="44" applyFont="1" applyBorder="1" applyAlignment="1">
      <alignment/>
    </xf>
    <xf numFmtId="44" fontId="46" fillId="0" borderId="0" xfId="44" applyFont="1" applyFill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0" borderId="0" xfId="59" applyNumberFormat="1" applyFont="1" applyFill="1" applyAlignment="1">
      <alignment/>
    </xf>
    <xf numFmtId="9" fontId="1" fillId="0" borderId="0" xfId="59" applyFont="1" applyFill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Border="1" applyAlignment="1">
      <alignment/>
    </xf>
    <xf numFmtId="44" fontId="0" fillId="0" borderId="0" xfId="44" applyFill="1" applyAlignment="1">
      <alignment/>
    </xf>
    <xf numFmtId="164" fontId="0" fillId="0" borderId="0" xfId="59" applyNumberFormat="1" applyFill="1" applyAlignment="1">
      <alignment/>
    </xf>
    <xf numFmtId="9" fontId="0" fillId="0" borderId="0" xfId="59" applyFill="1" applyAlignment="1">
      <alignment/>
    </xf>
    <xf numFmtId="0" fontId="0" fillId="0" borderId="0" xfId="0" applyFill="1" applyAlignment="1">
      <alignment horizontal="center"/>
    </xf>
    <xf numFmtId="9" fontId="0" fillId="0" borderId="0" xfId="59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164" fontId="1" fillId="0" borderId="12" xfId="59" applyNumberFormat="1" applyFont="1" applyFill="1" applyBorder="1" applyAlignment="1">
      <alignment/>
    </xf>
    <xf numFmtId="9" fontId="1" fillId="0" borderId="12" xfId="59" applyFont="1" applyFill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9" fontId="0" fillId="0" borderId="0" xfId="59" applyFont="1" applyFill="1" applyBorder="1" applyAlignment="1">
      <alignment/>
    </xf>
    <xf numFmtId="164" fontId="0" fillId="0" borderId="12" xfId="59" applyNumberFormat="1" applyFill="1" applyBorder="1" applyAlignment="1">
      <alignment/>
    </xf>
    <xf numFmtId="165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H23" sqref="H23"/>
    </sheetView>
  </sheetViews>
  <sheetFormatPr defaultColWidth="8.8515625" defaultRowHeight="12.75"/>
  <cols>
    <col min="1" max="1" width="19.8515625" style="0" customWidth="1"/>
    <col min="2" max="2" width="15.8515625" style="0" customWidth="1"/>
    <col min="3" max="3" width="9.8515625" style="0" hidden="1" customWidth="1"/>
    <col min="4" max="4" width="15.00390625" style="0" customWidth="1"/>
    <col min="5" max="5" width="9.8515625" style="0" hidden="1" customWidth="1"/>
    <col min="6" max="6" width="18.140625" style="27" customWidth="1"/>
    <col min="7" max="7" width="11.28125" style="28" hidden="1" customWidth="1"/>
    <col min="8" max="8" width="22.140625" style="27" bestFit="1" customWidth="1"/>
    <col min="9" max="9" width="18.28125" style="0" customWidth="1"/>
    <col min="10" max="10" width="8.8515625" style="0" customWidth="1"/>
    <col min="11" max="11" width="14.28125" style="0" bestFit="1" customWidth="1"/>
    <col min="12" max="12" width="12.421875" style="0" bestFit="1" customWidth="1"/>
  </cols>
  <sheetData>
    <row r="1" spans="1:9" ht="12.75">
      <c r="A1" s="9" t="s">
        <v>33</v>
      </c>
      <c r="B1" s="2" t="s">
        <v>79</v>
      </c>
      <c r="C1" s="3" t="s">
        <v>48</v>
      </c>
      <c r="D1" s="2" t="s">
        <v>80</v>
      </c>
      <c r="E1" s="3" t="s">
        <v>48</v>
      </c>
      <c r="F1" s="19" t="s">
        <v>81</v>
      </c>
      <c r="G1" s="26" t="s">
        <v>48</v>
      </c>
      <c r="H1" s="19" t="s">
        <v>194</v>
      </c>
      <c r="I1" s="41" t="s">
        <v>62</v>
      </c>
    </row>
    <row r="2" spans="2:8" ht="12.75">
      <c r="B2" s="4"/>
      <c r="C2" s="5"/>
      <c r="D2" s="2"/>
      <c r="E2" s="5"/>
      <c r="H2" s="45"/>
    </row>
    <row r="3" spans="1:9" ht="12.75">
      <c r="A3" s="14" t="s">
        <v>40</v>
      </c>
      <c r="B3" s="27">
        <v>2000</v>
      </c>
      <c r="C3" s="8">
        <f>B3/B27</f>
        <v>0.050314465408805034</v>
      </c>
      <c r="D3" s="13">
        <v>3377.5</v>
      </c>
      <c r="E3" s="8">
        <f>D3/D27</f>
        <v>0.06531934438911183</v>
      </c>
      <c r="F3" s="27">
        <v>2000</v>
      </c>
      <c r="G3" s="29">
        <f>F3/F27</f>
        <v>0.047337278106508875</v>
      </c>
      <c r="H3" s="13">
        <v>2375</v>
      </c>
      <c r="I3" s="24">
        <f>H3-F3</f>
        <v>375</v>
      </c>
    </row>
    <row r="4" spans="1:9" ht="12.75">
      <c r="A4" s="25" t="s">
        <v>43</v>
      </c>
      <c r="B4" s="27">
        <v>1200</v>
      </c>
      <c r="C4" s="8">
        <f>B4/B27</f>
        <v>0.03018867924528302</v>
      </c>
      <c r="D4" s="13">
        <v>1273</v>
      </c>
      <c r="E4" s="8">
        <f>D4/D27</f>
        <v>0.02461925252622927</v>
      </c>
      <c r="F4" s="27">
        <v>1200</v>
      </c>
      <c r="G4" s="29">
        <f>F4/F27</f>
        <v>0.028402366863905324</v>
      </c>
      <c r="H4" s="13"/>
      <c r="I4" s="24">
        <f aca="true" t="shared" si="0" ref="I4:I22">H4-F4</f>
        <v>-1200</v>
      </c>
    </row>
    <row r="5" spans="1:9" ht="12.75">
      <c r="A5" s="25" t="s">
        <v>70</v>
      </c>
      <c r="B5" s="27">
        <v>1500</v>
      </c>
      <c r="C5" s="8"/>
      <c r="D5" s="13">
        <v>2087.75</v>
      </c>
      <c r="E5" s="8"/>
      <c r="F5" s="27">
        <v>1500</v>
      </c>
      <c r="G5" s="29"/>
      <c r="H5" s="13">
        <v>1142</v>
      </c>
      <c r="I5" s="24">
        <f t="shared" si="0"/>
        <v>-358</v>
      </c>
    </row>
    <row r="6" spans="1:11" ht="12.75">
      <c r="A6" s="14" t="s">
        <v>42</v>
      </c>
      <c r="B6" s="27">
        <v>0</v>
      </c>
      <c r="C6" s="8">
        <f>B6/B27</f>
        <v>0</v>
      </c>
      <c r="D6" s="27">
        <v>2256.73</v>
      </c>
      <c r="E6" s="8">
        <f>D6/D27</f>
        <v>0.04364415220229174</v>
      </c>
      <c r="F6" s="27">
        <v>0</v>
      </c>
      <c r="G6" s="29">
        <f>F6/F27</f>
        <v>0</v>
      </c>
      <c r="H6" s="27">
        <f>1810.37+725.4+136.45+45+74.52+316+137+148.97</f>
        <v>3393.7099999999996</v>
      </c>
      <c r="I6" s="24">
        <f>H6-F6</f>
        <v>3393.7099999999996</v>
      </c>
      <c r="K6" s="24"/>
    </row>
    <row r="7" spans="1:9" ht="12.75">
      <c r="A7" s="15" t="s">
        <v>49</v>
      </c>
      <c r="B7" s="27">
        <v>50</v>
      </c>
      <c r="C7" s="8">
        <f>B7/B27</f>
        <v>0.0012578616352201257</v>
      </c>
      <c r="D7" s="13">
        <v>47.02</v>
      </c>
      <c r="E7" s="8">
        <f>D7/D27</f>
        <v>0.0009093458395783978</v>
      </c>
      <c r="F7" s="27">
        <v>50</v>
      </c>
      <c r="G7" s="29">
        <f>F7/F27</f>
        <v>0.001183431952662722</v>
      </c>
      <c r="H7" s="13">
        <f>31.49+3.21+3.43+3.43</f>
        <v>41.559999999999995</v>
      </c>
      <c r="I7" s="24">
        <f>H7-F7</f>
        <v>-8.440000000000005</v>
      </c>
    </row>
    <row r="8" spans="1:9" s="10" customFormat="1" ht="12.75">
      <c r="A8" s="10" t="s">
        <v>50</v>
      </c>
      <c r="B8" s="13">
        <v>0</v>
      </c>
      <c r="C8" s="8">
        <f>B8/B27</f>
        <v>0</v>
      </c>
      <c r="D8" s="13"/>
      <c r="E8" s="8">
        <f>D8/D27</f>
        <v>0</v>
      </c>
      <c r="F8" s="13">
        <v>0</v>
      </c>
      <c r="G8" s="29">
        <f>F8/F27</f>
        <v>0</v>
      </c>
      <c r="H8" s="13"/>
      <c r="I8" s="24">
        <f t="shared" si="0"/>
        <v>0</v>
      </c>
    </row>
    <row r="9" spans="1:9" s="10" customFormat="1" ht="12.75">
      <c r="A9" s="44" t="s">
        <v>64</v>
      </c>
      <c r="B9" s="13">
        <v>25000</v>
      </c>
      <c r="C9" s="8"/>
      <c r="D9" s="13">
        <v>34854.28</v>
      </c>
      <c r="E9" s="8"/>
      <c r="F9" s="13">
        <v>30000</v>
      </c>
      <c r="G9" s="29"/>
      <c r="H9" s="13">
        <v>29919.52</v>
      </c>
      <c r="I9" s="24">
        <f t="shared" si="0"/>
        <v>-80.47999999999956</v>
      </c>
    </row>
    <row r="10" spans="1:9" ht="12.75">
      <c r="A10" t="s">
        <v>97</v>
      </c>
      <c r="B10" s="27">
        <v>3000</v>
      </c>
      <c r="C10" s="8">
        <f>B10/B27</f>
        <v>0.07547169811320754</v>
      </c>
      <c r="D10" s="13">
        <v>3660</v>
      </c>
      <c r="E10" s="8">
        <f>D10/D27</f>
        <v>0.07078276845718706</v>
      </c>
      <c r="F10" s="27">
        <v>3000</v>
      </c>
      <c r="G10" s="29">
        <f>F10/F27</f>
        <v>0.07100591715976332</v>
      </c>
      <c r="H10" s="13">
        <v>2460</v>
      </c>
      <c r="I10" s="24">
        <f t="shared" si="0"/>
        <v>-540</v>
      </c>
    </row>
    <row r="11" spans="1:9" ht="12.75">
      <c r="A11" t="s">
        <v>38</v>
      </c>
      <c r="B11" s="27">
        <v>2500</v>
      </c>
      <c r="C11" s="8">
        <f>B11/B27</f>
        <v>0.06289308176100629</v>
      </c>
      <c r="D11" s="27"/>
      <c r="E11" s="8">
        <f>D11/D27</f>
        <v>0</v>
      </c>
      <c r="F11" s="27">
        <v>0</v>
      </c>
      <c r="G11" s="29">
        <f>F11/F27</f>
        <v>0</v>
      </c>
      <c r="I11" s="24">
        <f t="shared" si="0"/>
        <v>0</v>
      </c>
    </row>
    <row r="12" spans="1:9" ht="12.75">
      <c r="A12" s="14" t="s">
        <v>44</v>
      </c>
      <c r="B12" s="27">
        <v>0</v>
      </c>
      <c r="C12" s="8">
        <f>B12/B27</f>
        <v>0</v>
      </c>
      <c r="D12" s="13">
        <v>13.99</v>
      </c>
      <c r="E12" s="8">
        <f>D12/D27</f>
        <v>0.0002705603635836194</v>
      </c>
      <c r="F12" s="27">
        <v>0</v>
      </c>
      <c r="G12" s="29">
        <f>F12/F27</f>
        <v>0</v>
      </c>
      <c r="H12" s="13">
        <v>2.81</v>
      </c>
      <c r="I12" s="24">
        <f t="shared" si="0"/>
        <v>2.81</v>
      </c>
    </row>
    <row r="13" spans="1:9" ht="12.75">
      <c r="A13" s="14" t="s">
        <v>58</v>
      </c>
      <c r="B13" s="27">
        <v>0</v>
      </c>
      <c r="C13" s="8"/>
      <c r="D13" s="27"/>
      <c r="E13" s="8"/>
      <c r="F13" s="27">
        <v>0</v>
      </c>
      <c r="G13" s="29">
        <f>F13/F27</f>
        <v>0</v>
      </c>
      <c r="I13" s="24">
        <f t="shared" si="0"/>
        <v>0</v>
      </c>
    </row>
    <row r="14" spans="1:9" ht="12.75">
      <c r="A14" t="s">
        <v>39</v>
      </c>
      <c r="B14" s="27"/>
      <c r="C14" s="8"/>
      <c r="D14" s="27"/>
      <c r="E14" s="8"/>
      <c r="G14" s="29">
        <f>F14/F27</f>
        <v>0</v>
      </c>
      <c r="I14" s="24">
        <f t="shared" si="0"/>
        <v>0</v>
      </c>
    </row>
    <row r="15" spans="1:9" ht="12.75">
      <c r="A15" s="11" t="s">
        <v>46</v>
      </c>
      <c r="B15" s="27">
        <v>0</v>
      </c>
      <c r="C15" s="8">
        <f>B15/B27</f>
        <v>0</v>
      </c>
      <c r="D15" s="27">
        <v>240.75</v>
      </c>
      <c r="E15" s="8">
        <f>D15/D27</f>
        <v>0.004655997679253493</v>
      </c>
      <c r="F15" s="27">
        <v>0</v>
      </c>
      <c r="G15" s="29">
        <f>F15/F27</f>
        <v>0</v>
      </c>
      <c r="I15" s="24">
        <f t="shared" si="0"/>
        <v>0</v>
      </c>
    </row>
    <row r="16" spans="1:9" ht="12.75">
      <c r="A16" s="11" t="s">
        <v>36</v>
      </c>
      <c r="B16" s="27">
        <v>1000</v>
      </c>
      <c r="C16" s="8">
        <f>B16/B27</f>
        <v>0.025157232704402517</v>
      </c>
      <c r="D16" s="27">
        <v>846.8</v>
      </c>
      <c r="E16" s="8">
        <f>D16/D27</f>
        <v>0.0163767345162694</v>
      </c>
      <c r="F16" s="27">
        <v>1000</v>
      </c>
      <c r="G16" s="29">
        <f>F16/F27</f>
        <v>0.023668639053254437</v>
      </c>
      <c r="H16" s="27">
        <v>718.9</v>
      </c>
      <c r="I16" s="24">
        <f t="shared" si="0"/>
        <v>-281.1</v>
      </c>
    </row>
    <row r="17" spans="1:9" ht="12.75">
      <c r="A17" s="11" t="s">
        <v>35</v>
      </c>
      <c r="B17" s="27">
        <v>3000</v>
      </c>
      <c r="C17" s="8">
        <f>B17/B27</f>
        <v>0.07547169811320754</v>
      </c>
      <c r="D17" s="13">
        <v>1516.14</v>
      </c>
      <c r="E17" s="8">
        <f>D17/D27</f>
        <v>0.029321471740076394</v>
      </c>
      <c r="F17" s="27">
        <v>3000</v>
      </c>
      <c r="G17" s="29">
        <f>F17/F27</f>
        <v>0.07100591715976332</v>
      </c>
      <c r="H17" s="13">
        <f>530.57+14.34</f>
        <v>544.9100000000001</v>
      </c>
      <c r="I17" s="24">
        <f>SUM(H17-F17)</f>
        <v>-2455.09</v>
      </c>
    </row>
    <row r="18" spans="1:9" ht="12.75">
      <c r="A18" s="12" t="s">
        <v>78</v>
      </c>
      <c r="B18" s="27">
        <v>0</v>
      </c>
      <c r="C18" s="8">
        <f>B18/B27</f>
        <v>0</v>
      </c>
      <c r="D18" s="13">
        <v>-308.13</v>
      </c>
      <c r="E18" s="8">
        <f>D18/D27</f>
        <v>-0.005959096842817773</v>
      </c>
      <c r="F18" s="27">
        <v>0</v>
      </c>
      <c r="G18" s="29">
        <f>F18/F27</f>
        <v>0</v>
      </c>
      <c r="H18" s="13"/>
      <c r="I18" s="24">
        <f t="shared" si="0"/>
        <v>0</v>
      </c>
    </row>
    <row r="19" spans="1:9" ht="12.75">
      <c r="A19" s="11" t="s">
        <v>61</v>
      </c>
      <c r="B19" s="27">
        <v>0</v>
      </c>
      <c r="C19" s="8">
        <f>B19/B27</f>
        <v>0</v>
      </c>
      <c r="D19" s="13">
        <v>370.02</v>
      </c>
      <c r="E19" s="8">
        <f>D19/D27</f>
        <v>0.007156021853696272</v>
      </c>
      <c r="F19" s="27">
        <v>0</v>
      </c>
      <c r="G19" s="29">
        <f>F19/F27</f>
        <v>0</v>
      </c>
      <c r="H19" s="13">
        <v>-384.03</v>
      </c>
      <c r="I19" s="24">
        <f t="shared" si="0"/>
        <v>-384.03</v>
      </c>
    </row>
    <row r="20" spans="1:9" ht="12.75">
      <c r="A20" s="11" t="s">
        <v>34</v>
      </c>
      <c r="B20" s="27">
        <v>500</v>
      </c>
      <c r="C20" s="8">
        <f>B20/B27</f>
        <v>0.012578616352201259</v>
      </c>
      <c r="D20" s="13">
        <v>1450.55</v>
      </c>
      <c r="E20" s="8">
        <f>D20/D27</f>
        <v>0.028052990378571774</v>
      </c>
      <c r="F20" s="27">
        <v>500</v>
      </c>
      <c r="G20" s="29">
        <f>F20/F27</f>
        <v>0.011834319526627219</v>
      </c>
      <c r="H20" s="13">
        <f>1169.59+70+15</f>
        <v>1254.59</v>
      </c>
      <c r="I20" s="24">
        <f>H20-F20</f>
        <v>754.5899999999999</v>
      </c>
    </row>
    <row r="21" spans="1:9" ht="12.75">
      <c r="A21" s="11" t="s">
        <v>45</v>
      </c>
      <c r="B21" s="27">
        <v>0</v>
      </c>
      <c r="C21" s="8">
        <f>B21/B27</f>
        <v>0</v>
      </c>
      <c r="D21" s="13"/>
      <c r="E21" s="8">
        <f>D21/D27</f>
        <v>0</v>
      </c>
      <c r="F21" s="27">
        <v>0</v>
      </c>
      <c r="G21" s="29">
        <f>F21/F27</f>
        <v>0</v>
      </c>
      <c r="H21" s="13"/>
      <c r="I21" s="24">
        <f t="shared" si="0"/>
        <v>0</v>
      </c>
    </row>
    <row r="22" spans="1:9" ht="12.75">
      <c r="A22" s="12" t="s">
        <v>47</v>
      </c>
      <c r="B22" s="13">
        <v>0</v>
      </c>
      <c r="C22" s="8">
        <f>B22/B27</f>
        <v>0</v>
      </c>
      <c r="D22" s="13"/>
      <c r="E22" s="8">
        <f>D22/D27</f>
        <v>0</v>
      </c>
      <c r="F22" s="13">
        <v>0</v>
      </c>
      <c r="G22" s="29">
        <f>F22/F27</f>
        <v>0</v>
      </c>
      <c r="H22" s="13"/>
      <c r="I22" s="24">
        <f t="shared" si="0"/>
        <v>0</v>
      </c>
    </row>
    <row r="23" spans="1:9" ht="12.75">
      <c r="A23" s="12" t="s">
        <v>68</v>
      </c>
      <c r="B23" s="13">
        <v>0</v>
      </c>
      <c r="C23" s="8" t="e">
        <f>B23/B28</f>
        <v>#DIV/0!</v>
      </c>
      <c r="D23" s="13">
        <v>551.1</v>
      </c>
      <c r="E23" s="8" t="e">
        <f>D23/D28</f>
        <v>#DIV/0!</v>
      </c>
      <c r="F23" s="13">
        <v>0</v>
      </c>
      <c r="G23" s="29" t="e">
        <f>F23/F28</f>
        <v>#DIV/0!</v>
      </c>
      <c r="H23" s="13">
        <f>'Expense info'!B20</f>
        <v>776.6100000000006</v>
      </c>
      <c r="I23" s="24">
        <f>H23-F23</f>
        <v>776.6100000000006</v>
      </c>
    </row>
    <row r="24" spans="1:9" ht="12.75">
      <c r="A24" s="12" t="s">
        <v>71</v>
      </c>
      <c r="B24" s="13">
        <v>0</v>
      </c>
      <c r="C24" s="8" t="e">
        <f>B24/B29</f>
        <v>#DIV/0!</v>
      </c>
      <c r="D24" s="13">
        <v>0</v>
      </c>
      <c r="E24" s="8" t="e">
        <f>D24/D29</f>
        <v>#DIV/0!</v>
      </c>
      <c r="F24" s="13">
        <v>0</v>
      </c>
      <c r="G24" s="29" t="e">
        <f>F24/F29</f>
        <v>#DIV/0!</v>
      </c>
      <c r="H24" s="13"/>
      <c r="I24" s="24">
        <f>H24-F24</f>
        <v>0</v>
      </c>
    </row>
    <row r="25" spans="1:9" s="28" customFormat="1" ht="12.75">
      <c r="A25" s="12" t="s">
        <v>41</v>
      </c>
      <c r="B25" s="13"/>
      <c r="C25" s="30">
        <f>B25/B27</f>
        <v>0</v>
      </c>
      <c r="D25" s="13">
        <v>-530</v>
      </c>
      <c r="E25" s="30">
        <f>D25/D27</f>
        <v>-0.01024996373833583</v>
      </c>
      <c r="F25" s="13"/>
      <c r="G25" s="29">
        <f>F25/F27</f>
        <v>0</v>
      </c>
      <c r="H25" s="13">
        <v>1490.05</v>
      </c>
      <c r="I25" s="67">
        <f>H25-F25</f>
        <v>1490.05</v>
      </c>
    </row>
    <row r="26" spans="1:9" ht="12.75">
      <c r="A26" s="68" t="s">
        <v>201</v>
      </c>
      <c r="B26" s="13"/>
      <c r="C26" s="30"/>
      <c r="D26" s="13"/>
      <c r="E26" s="30"/>
      <c r="F26" s="13"/>
      <c r="G26" s="29"/>
      <c r="H26" s="13">
        <f>291.25+281.95+231.3</f>
        <v>804.5</v>
      </c>
      <c r="I26" s="67">
        <f>H26-F26</f>
        <v>804.5</v>
      </c>
    </row>
    <row r="27" spans="1:12" ht="13.5" thickBot="1">
      <c r="A27" s="16" t="s">
        <v>37</v>
      </c>
      <c r="B27" s="17">
        <f>SUM(B3:B25)</f>
        <v>39750</v>
      </c>
      <c r="C27" s="21"/>
      <c r="D27" s="17">
        <f>SUM(D3:D25)</f>
        <v>51707.5</v>
      </c>
      <c r="E27" s="22"/>
      <c r="F27" s="17">
        <f>SUM(F3:F25)</f>
        <v>42250</v>
      </c>
      <c r="G27" s="33"/>
      <c r="H27" s="17">
        <f>SUM(H3:H26)</f>
        <v>44540.130000000005</v>
      </c>
      <c r="I27" s="17">
        <f>SUM(I3:I26)</f>
        <v>2290.13</v>
      </c>
      <c r="K27" s="24"/>
      <c r="L27" s="24"/>
    </row>
    <row r="28" spans="1:8" ht="13.5" thickTop="1">
      <c r="A28" s="18"/>
      <c r="B28" s="19"/>
      <c r="C28" s="5"/>
      <c r="D28" s="19"/>
      <c r="E28" s="20"/>
      <c r="F28" s="31"/>
      <c r="G28" s="32"/>
      <c r="H28" s="31"/>
    </row>
    <row r="29" spans="1:4" ht="12.75">
      <c r="A29" s="18"/>
      <c r="B29" s="19"/>
      <c r="C29" s="5"/>
      <c r="D29" s="19"/>
    </row>
    <row r="30" spans="1:11" ht="12.75">
      <c r="A30" s="25"/>
      <c r="B30" s="19"/>
      <c r="C30" s="5"/>
      <c r="D30" s="19"/>
      <c r="K30" s="24"/>
    </row>
    <row r="31" spans="1:4" ht="12.75">
      <c r="A31" s="18"/>
      <c r="B31" s="19"/>
      <c r="C31" s="5"/>
      <c r="D31" s="19"/>
    </row>
    <row r="32" spans="1:4" ht="12.75">
      <c r="A32" s="18"/>
      <c r="B32" s="19"/>
      <c r="C32" s="5"/>
      <c r="D32" s="19"/>
    </row>
    <row r="33" spans="1:4" ht="12.75">
      <c r="A33" s="18"/>
      <c r="B33" s="19"/>
      <c r="C33" s="5"/>
      <c r="D33" s="19"/>
    </row>
    <row r="34" spans="1:4" ht="12.75">
      <c r="A34" s="18"/>
      <c r="B34" s="19"/>
      <c r="C34" s="5"/>
      <c r="D34" s="19"/>
    </row>
    <row r="35" spans="1:4" ht="12.75">
      <c r="A35" s="18"/>
      <c r="B35" s="19"/>
      <c r="C35" s="5"/>
      <c r="D35" s="19"/>
    </row>
    <row r="36" spans="1:4" ht="12.75">
      <c r="A36" s="18"/>
      <c r="B36" s="19"/>
      <c r="C36" s="5"/>
      <c r="D36" s="19"/>
    </row>
    <row r="37" spans="1:4" ht="12.75">
      <c r="A37" s="18"/>
      <c r="B37" s="19"/>
      <c r="C37" s="5"/>
      <c r="D37" s="19"/>
    </row>
    <row r="38" spans="1:4" ht="12.75">
      <c r="A38" s="18"/>
      <c r="B38" s="19"/>
      <c r="C38" s="5"/>
      <c r="D38" s="19"/>
    </row>
    <row r="39" spans="1:4" ht="12.75">
      <c r="A39" s="18"/>
      <c r="B39" s="19"/>
      <c r="C39" s="5"/>
      <c r="D39" s="19"/>
    </row>
    <row r="40" spans="1:4" ht="12.75">
      <c r="A40" s="18"/>
      <c r="B40" s="19"/>
      <c r="C40" s="5"/>
      <c r="D40" s="19"/>
    </row>
    <row r="41" spans="1:4" ht="12.75">
      <c r="A41" s="18"/>
      <c r="B41" s="19"/>
      <c r="C41" s="5"/>
      <c r="D41" s="19"/>
    </row>
    <row r="42" spans="1:4" ht="12.75">
      <c r="A42" s="18"/>
      <c r="B42" s="19"/>
      <c r="C42" s="5"/>
      <c r="D42" s="19"/>
    </row>
    <row r="43" spans="1:4" ht="12.75">
      <c r="A43" s="18"/>
      <c r="B43" s="19"/>
      <c r="C43" s="5"/>
      <c r="D43" s="19"/>
    </row>
    <row r="44" spans="1:4" ht="12.75">
      <c r="A44" s="18"/>
      <c r="B44" s="19"/>
      <c r="C44" s="5"/>
      <c r="D44" s="19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7" spans="1:4" ht="12.75">
      <c r="A97" s="1"/>
      <c r="B97" s="4"/>
      <c r="C97" s="5"/>
      <c r="D97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pane ySplit="1" topLeftCell="A27" activePane="bottomLeft" state="frozen"/>
      <selection pane="topLeft" activeCell="H17" sqref="H17"/>
      <selection pane="bottomLeft" activeCell="I58" sqref="I58"/>
    </sheetView>
  </sheetViews>
  <sheetFormatPr defaultColWidth="8.8515625" defaultRowHeight="12.75"/>
  <cols>
    <col min="1" max="1" width="28.28125" style="72" bestFit="1" customWidth="1"/>
    <col min="2" max="2" width="18.421875" style="72" customWidth="1"/>
    <col min="3" max="3" width="10.421875" style="72" hidden="1" customWidth="1"/>
    <col min="4" max="4" width="15.28125" style="72" customWidth="1"/>
    <col min="5" max="5" width="11.140625" style="72" hidden="1" customWidth="1"/>
    <col min="6" max="6" width="18.140625" style="34" customWidth="1"/>
    <col min="7" max="7" width="0.2890625" style="73" customWidth="1"/>
    <col min="8" max="8" width="18.140625" style="34" bestFit="1" customWidth="1"/>
    <col min="9" max="9" width="13.421875" style="72" customWidth="1"/>
    <col min="10" max="10" width="8.8515625" style="72" customWidth="1"/>
    <col min="11" max="11" width="11.28125" style="72" bestFit="1" customWidth="1"/>
    <col min="12" max="16384" width="8.8515625" style="72" customWidth="1"/>
  </cols>
  <sheetData>
    <row r="1" spans="1:9" ht="12.75">
      <c r="A1" s="69" t="s">
        <v>0</v>
      </c>
      <c r="B1" s="37" t="s">
        <v>72</v>
      </c>
      <c r="C1" s="70" t="s">
        <v>48</v>
      </c>
      <c r="D1" s="37" t="s">
        <v>96</v>
      </c>
      <c r="E1" s="71" t="s">
        <v>48</v>
      </c>
      <c r="F1" s="37" t="s">
        <v>81</v>
      </c>
      <c r="G1" s="42"/>
      <c r="H1" s="37" t="s">
        <v>83</v>
      </c>
      <c r="I1" s="42" t="s">
        <v>63</v>
      </c>
    </row>
    <row r="2" spans="1:8" ht="12.75">
      <c r="A2" s="69"/>
      <c r="B2" s="37"/>
      <c r="C2" s="70"/>
      <c r="D2" s="37" t="s">
        <v>82</v>
      </c>
      <c r="E2" s="71"/>
      <c r="F2" s="38"/>
      <c r="H2" s="37" t="s">
        <v>195</v>
      </c>
    </row>
    <row r="3" spans="1:8" ht="12.75">
      <c r="A3" s="69" t="s">
        <v>1</v>
      </c>
      <c r="B3" s="74"/>
      <c r="C3" s="75"/>
      <c r="D3" s="74"/>
      <c r="E3" s="76"/>
      <c r="F3" s="38"/>
      <c r="H3" s="38"/>
    </row>
    <row r="4" spans="2:8" ht="12.75">
      <c r="B4" s="76"/>
      <c r="C4" s="75"/>
      <c r="D4" s="74"/>
      <c r="E4" s="76"/>
      <c r="F4" s="38"/>
      <c r="H4" s="38"/>
    </row>
    <row r="5" spans="1:9" ht="12.75">
      <c r="A5" s="77" t="s">
        <v>57</v>
      </c>
      <c r="B5" s="38">
        <v>500</v>
      </c>
      <c r="C5" s="73">
        <f>B5/B76</f>
        <v>0.009216547389182539</v>
      </c>
      <c r="D5" s="38">
        <v>26.98</v>
      </c>
      <c r="E5" s="78">
        <f>D5/D76</f>
        <v>0.00026736197958060037</v>
      </c>
      <c r="F5" s="38">
        <v>500</v>
      </c>
      <c r="G5" s="73">
        <f>F5/F76</f>
        <v>0.00737985594521195</v>
      </c>
      <c r="H5" s="38">
        <v>-2126.24</v>
      </c>
      <c r="I5" s="79">
        <f>F5-H5</f>
        <v>2626.24</v>
      </c>
    </row>
    <row r="6" spans="1:9" ht="12.75">
      <c r="A6" s="77" t="s">
        <v>97</v>
      </c>
      <c r="B6" s="38">
        <v>3660</v>
      </c>
      <c r="C6" s="73">
        <f>B6/B76</f>
        <v>0.06746512688881617</v>
      </c>
      <c r="D6" s="38">
        <v>2769.65</v>
      </c>
      <c r="E6" s="78">
        <f>D6/D76</f>
        <v>0.027446223378258333</v>
      </c>
      <c r="F6" s="38">
        <f>'Income Budget 15-16'!H10</f>
        <v>2460</v>
      </c>
      <c r="G6" s="73">
        <f>F6/F76</f>
        <v>0.036308891250442794</v>
      </c>
      <c r="H6" s="38">
        <v>1958.68</v>
      </c>
      <c r="I6" s="79">
        <f aca="true" t="shared" si="0" ref="I6:I26">F6-H6</f>
        <v>501.31999999999994</v>
      </c>
    </row>
    <row r="7" spans="1:9" ht="12.75">
      <c r="A7" s="77" t="s">
        <v>77</v>
      </c>
      <c r="B7" s="38">
        <v>250</v>
      </c>
      <c r="C7" s="73"/>
      <c r="D7" s="38">
        <v>221.38</v>
      </c>
      <c r="E7" s="78"/>
      <c r="F7" s="38">
        <v>250</v>
      </c>
      <c r="G7" s="73">
        <v>0</v>
      </c>
      <c r="H7" s="38">
        <f>-573.12+9.98+12.49</f>
        <v>-550.65</v>
      </c>
      <c r="I7" s="79">
        <f t="shared" si="0"/>
        <v>800.65</v>
      </c>
    </row>
    <row r="8" spans="1:9" ht="12.75">
      <c r="A8" s="77" t="s">
        <v>31</v>
      </c>
      <c r="B8" s="38">
        <v>100</v>
      </c>
      <c r="C8" s="73">
        <f>B8/B76</f>
        <v>0.0018433094778365076</v>
      </c>
      <c r="D8" s="38">
        <v>100.22</v>
      </c>
      <c r="E8" s="78">
        <f>D8/D76</f>
        <v>0.0009931437210366112</v>
      </c>
      <c r="F8" s="38">
        <v>200</v>
      </c>
      <c r="G8" s="73">
        <f>F8/F76</f>
        <v>0.00295194237808478</v>
      </c>
      <c r="H8" s="38"/>
      <c r="I8" s="79">
        <f t="shared" si="0"/>
        <v>200</v>
      </c>
    </row>
    <row r="9" spans="1:9" ht="12.75">
      <c r="A9" s="77" t="s">
        <v>26</v>
      </c>
      <c r="B9" s="38">
        <v>75</v>
      </c>
      <c r="C9" s="73">
        <f>B9/B76</f>
        <v>0.0013824821083773808</v>
      </c>
      <c r="D9" s="39"/>
      <c r="E9" s="78">
        <f>D9/D76</f>
        <v>0</v>
      </c>
      <c r="F9" s="38">
        <v>75</v>
      </c>
      <c r="G9" s="73">
        <f>F9/F76</f>
        <v>0.0011069783917817923</v>
      </c>
      <c r="H9" s="39">
        <v>121.97</v>
      </c>
      <c r="I9" s="79">
        <f t="shared" si="0"/>
        <v>-46.97</v>
      </c>
    </row>
    <row r="10" spans="1:9" ht="12.75">
      <c r="A10" s="77" t="s">
        <v>7</v>
      </c>
      <c r="B10" s="38">
        <v>50</v>
      </c>
      <c r="C10" s="73">
        <f>B10/B76</f>
        <v>0.0009216547389182538</v>
      </c>
      <c r="D10" s="38"/>
      <c r="E10" s="78">
        <f>D10/D76</f>
        <v>0</v>
      </c>
      <c r="F10" s="38">
        <v>0</v>
      </c>
      <c r="G10" s="73">
        <f>F10/F76</f>
        <v>0</v>
      </c>
      <c r="H10" s="38"/>
      <c r="I10" s="79">
        <f t="shared" si="0"/>
        <v>0</v>
      </c>
    </row>
    <row r="11" spans="1:9" ht="12.75">
      <c r="A11" s="77" t="s">
        <v>28</v>
      </c>
      <c r="B11" s="38">
        <v>1200</v>
      </c>
      <c r="C11" s="73">
        <f>B11/B76</f>
        <v>0.022119713734038093</v>
      </c>
      <c r="D11" s="38">
        <v>1200</v>
      </c>
      <c r="E11" s="78">
        <f>D11/D76</f>
        <v>0.01189156321336992</v>
      </c>
      <c r="F11" s="38">
        <v>1200</v>
      </c>
      <c r="G11" s="73">
        <f>F11/F76</f>
        <v>0.017711654268508677</v>
      </c>
      <c r="H11" s="38">
        <v>1194.11</v>
      </c>
      <c r="I11" s="79">
        <f t="shared" si="0"/>
        <v>5.8900000000001</v>
      </c>
    </row>
    <row r="12" spans="1:9" ht="12.75">
      <c r="A12" s="77" t="s">
        <v>4</v>
      </c>
      <c r="B12" s="38">
        <v>2000</v>
      </c>
      <c r="C12" s="73">
        <f>B12/B76</f>
        <v>0.036866189556730156</v>
      </c>
      <c r="D12" s="38">
        <v>1888.83</v>
      </c>
      <c r="E12" s="78">
        <f>D12/D76</f>
        <v>0.018717617786924587</v>
      </c>
      <c r="F12" s="38">
        <v>2000</v>
      </c>
      <c r="G12" s="73">
        <f>F12/F76</f>
        <v>0.0295194237808478</v>
      </c>
      <c r="H12" s="38">
        <v>1804.17</v>
      </c>
      <c r="I12" s="79">
        <f t="shared" si="0"/>
        <v>195.82999999999993</v>
      </c>
    </row>
    <row r="13" spans="1:9" ht="12.75">
      <c r="A13" s="77" t="s">
        <v>3</v>
      </c>
      <c r="B13" s="38">
        <v>2000</v>
      </c>
      <c r="C13" s="73">
        <f>B13/B76</f>
        <v>0.036866189556730156</v>
      </c>
      <c r="D13" s="38">
        <v>1929.03</v>
      </c>
      <c r="E13" s="78">
        <f>D13/D76</f>
        <v>0.019115985154572482</v>
      </c>
      <c r="F13" s="38">
        <v>2500</v>
      </c>
      <c r="G13" s="73">
        <f>F13/F76</f>
        <v>0.03689927972605975</v>
      </c>
      <c r="H13" s="38">
        <v>1742.49</v>
      </c>
      <c r="I13" s="79">
        <f t="shared" si="0"/>
        <v>757.51</v>
      </c>
    </row>
    <row r="14" spans="1:9" ht="12.75">
      <c r="A14" s="77" t="s">
        <v>84</v>
      </c>
      <c r="B14" s="38"/>
      <c r="C14" s="73"/>
      <c r="D14" s="38"/>
      <c r="E14" s="78"/>
      <c r="F14" s="38">
        <v>200</v>
      </c>
      <c r="H14" s="38"/>
      <c r="I14" s="79">
        <f t="shared" si="0"/>
        <v>200</v>
      </c>
    </row>
    <row r="15" spans="1:9" ht="12.75">
      <c r="A15" s="77" t="s">
        <v>54</v>
      </c>
      <c r="B15" s="38">
        <v>1200</v>
      </c>
      <c r="C15" s="73">
        <f>B15/B76</f>
        <v>0.022119713734038093</v>
      </c>
      <c r="D15" s="38">
        <v>1163.52</v>
      </c>
      <c r="E15" s="78">
        <f>D15/D76</f>
        <v>0.011530059691683475</v>
      </c>
      <c r="F15" s="38">
        <v>1200</v>
      </c>
      <c r="G15" s="73">
        <f>F15/F76</f>
        <v>0.017711654268508677</v>
      </c>
      <c r="H15" s="38">
        <f>909.77+50.91+159.1</f>
        <v>1119.78</v>
      </c>
      <c r="I15" s="79">
        <f t="shared" si="0"/>
        <v>80.22000000000003</v>
      </c>
    </row>
    <row r="16" spans="1:9" ht="12.75">
      <c r="A16" s="80" t="s">
        <v>52</v>
      </c>
      <c r="B16" s="38">
        <v>1000</v>
      </c>
      <c r="C16" s="73">
        <f>B16/B76</f>
        <v>0.018433094778365078</v>
      </c>
      <c r="D16" s="38">
        <v>1143.67</v>
      </c>
      <c r="E16" s="78">
        <f>D16/D76</f>
        <v>0.011333353416862315</v>
      </c>
      <c r="F16" s="38">
        <v>2000</v>
      </c>
      <c r="G16" s="73">
        <f>F16/F76</f>
        <v>0.0295194237808478</v>
      </c>
      <c r="H16" s="38">
        <f>930.89+424</f>
        <v>1354.8899999999999</v>
      </c>
      <c r="I16" s="79">
        <f t="shared" si="0"/>
        <v>645.1100000000001</v>
      </c>
    </row>
    <row r="17" spans="1:9" ht="12.75">
      <c r="A17" s="80" t="s">
        <v>53</v>
      </c>
      <c r="B17" s="38">
        <v>0</v>
      </c>
      <c r="C17" s="73">
        <f>B17/B76</f>
        <v>0</v>
      </c>
      <c r="D17" s="43"/>
      <c r="E17" s="78">
        <f>D17/D76</f>
        <v>0</v>
      </c>
      <c r="F17" s="38">
        <v>0</v>
      </c>
      <c r="G17" s="73">
        <f>F17/F76</f>
        <v>0</v>
      </c>
      <c r="H17" s="43"/>
      <c r="I17" s="79">
        <f t="shared" si="0"/>
        <v>0</v>
      </c>
    </row>
    <row r="18" spans="1:9" ht="12.75">
      <c r="A18" s="77" t="s">
        <v>5</v>
      </c>
      <c r="B18" s="38">
        <v>0</v>
      </c>
      <c r="C18" s="73">
        <f>B18/B76</f>
        <v>0</v>
      </c>
      <c r="D18" s="43"/>
      <c r="E18" s="78">
        <f>D18/D76</f>
        <v>0</v>
      </c>
      <c r="F18" s="38">
        <v>0</v>
      </c>
      <c r="G18" s="73">
        <f>F18/F76</f>
        <v>0</v>
      </c>
      <c r="H18" s="66">
        <v>54</v>
      </c>
      <c r="I18" s="79">
        <f t="shared" si="0"/>
        <v>-54</v>
      </c>
    </row>
    <row r="19" spans="1:9" ht="12.75">
      <c r="A19" s="80" t="s">
        <v>85</v>
      </c>
      <c r="B19" s="38"/>
      <c r="C19" s="73">
        <f>B19/B76</f>
        <v>0</v>
      </c>
      <c r="D19" s="38"/>
      <c r="E19" s="78"/>
      <c r="F19" s="38">
        <v>500</v>
      </c>
      <c r="G19" s="73">
        <f>F19/F76</f>
        <v>0.00737985594521195</v>
      </c>
      <c r="H19" s="38"/>
      <c r="I19" s="79"/>
    </row>
    <row r="20" spans="1:9" ht="12.75">
      <c r="A20" s="81" t="s">
        <v>73</v>
      </c>
      <c r="B20" s="38">
        <v>550</v>
      </c>
      <c r="C20" s="73">
        <f>B20/B76</f>
        <v>0.010138202128100793</v>
      </c>
      <c r="D20" s="38">
        <f>266.56+282</f>
        <v>548.56</v>
      </c>
      <c r="E20" s="78">
        <f>D20/D76</f>
        <v>0.0054360299302718355</v>
      </c>
      <c r="F20" s="38">
        <v>0</v>
      </c>
      <c r="G20" s="73">
        <f>F20/F76</f>
        <v>0</v>
      </c>
      <c r="H20" s="38">
        <v>259.6</v>
      </c>
      <c r="I20" s="79">
        <f>F19-H20</f>
        <v>240.39999999999998</v>
      </c>
    </row>
    <row r="21" spans="1:9" ht="12.75">
      <c r="A21" s="81" t="s">
        <v>55</v>
      </c>
      <c r="B21" s="38">
        <v>75</v>
      </c>
      <c r="C21" s="73">
        <f>B21/B76</f>
        <v>0.0013824821083773808</v>
      </c>
      <c r="D21" s="38">
        <v>58.32</v>
      </c>
      <c r="E21" s="78">
        <f>D21/D76</f>
        <v>0.0005779299721697781</v>
      </c>
      <c r="F21" s="38">
        <v>0</v>
      </c>
      <c r="G21" s="73">
        <f>F21/F76</f>
        <v>0</v>
      </c>
      <c r="H21" s="38"/>
      <c r="I21" s="79">
        <f t="shared" si="0"/>
        <v>0</v>
      </c>
    </row>
    <row r="22" spans="1:9" s="83" customFormat="1" ht="12.75">
      <c r="A22" s="82" t="s">
        <v>56</v>
      </c>
      <c r="B22" s="39">
        <v>25</v>
      </c>
      <c r="C22" s="73">
        <f>B22/B76</f>
        <v>0.0004608273694591269</v>
      </c>
      <c r="D22" s="39"/>
      <c r="E22" s="78">
        <f>D22/D76</f>
        <v>0</v>
      </c>
      <c r="F22" s="39">
        <v>0</v>
      </c>
      <c r="G22" s="73">
        <f>F22/F76</f>
        <v>0</v>
      </c>
      <c r="H22" s="39"/>
      <c r="I22" s="79">
        <f t="shared" si="0"/>
        <v>0</v>
      </c>
    </row>
    <row r="23" spans="1:9" ht="12.75">
      <c r="A23" s="77" t="s">
        <v>27</v>
      </c>
      <c r="B23" s="38">
        <v>100</v>
      </c>
      <c r="C23" s="73">
        <f>B23/B76</f>
        <v>0.0018433094778365076</v>
      </c>
      <c r="D23" s="38">
        <v>116.51</v>
      </c>
      <c r="E23" s="78">
        <f>D23/D76</f>
        <v>0.0011545716916581078</v>
      </c>
      <c r="F23" s="38">
        <v>125</v>
      </c>
      <c r="G23" s="73">
        <f>F23/F76</f>
        <v>0.0018449639863029874</v>
      </c>
      <c r="H23" s="38">
        <f>28+58.1</f>
        <v>86.1</v>
      </c>
      <c r="I23" s="79">
        <f t="shared" si="0"/>
        <v>38.900000000000006</v>
      </c>
    </row>
    <row r="24" spans="1:9" ht="12.75">
      <c r="A24" s="77" t="s">
        <v>6</v>
      </c>
      <c r="B24" s="38">
        <v>2000</v>
      </c>
      <c r="C24" s="73">
        <f>B24/B76</f>
        <v>0.036866189556730156</v>
      </c>
      <c r="D24" s="38"/>
      <c r="E24" s="78">
        <f>D24/D76</f>
        <v>0</v>
      </c>
      <c r="F24" s="38">
        <v>0</v>
      </c>
      <c r="G24" s="73">
        <f>F24/F76</f>
        <v>0</v>
      </c>
      <c r="H24" s="38"/>
      <c r="I24" s="79">
        <f t="shared" si="0"/>
        <v>0</v>
      </c>
    </row>
    <row r="25" spans="1:9" ht="12.75">
      <c r="A25" s="77" t="s">
        <v>192</v>
      </c>
      <c r="B25" s="38"/>
      <c r="C25" s="73"/>
      <c r="D25" s="38"/>
      <c r="E25" s="78"/>
      <c r="F25" s="38">
        <v>0</v>
      </c>
      <c r="H25" s="38">
        <v>257.3</v>
      </c>
      <c r="I25" s="79">
        <f>F25-H25</f>
        <v>-257.3</v>
      </c>
    </row>
    <row r="26" spans="1:9" s="69" customFormat="1" ht="12.75">
      <c r="A26" s="80" t="s">
        <v>2</v>
      </c>
      <c r="B26" s="39">
        <v>3800</v>
      </c>
      <c r="C26" s="42">
        <f>B26/B76</f>
        <v>0.0700457601577873</v>
      </c>
      <c r="D26" s="39">
        <v>3750</v>
      </c>
      <c r="E26" s="71">
        <f>D26/D76</f>
        <v>0.037161135041781</v>
      </c>
      <c r="F26" s="39">
        <v>6000</v>
      </c>
      <c r="G26" s="42">
        <f>F26/F76</f>
        <v>0.08855827134254339</v>
      </c>
      <c r="H26" s="39">
        <f>'Teacher Stipends'!C36</f>
        <v>3145.53</v>
      </c>
      <c r="I26" s="79">
        <f t="shared" si="0"/>
        <v>2854.47</v>
      </c>
    </row>
    <row r="27" spans="1:11" ht="13.5" thickBot="1">
      <c r="A27" s="84" t="s">
        <v>8</v>
      </c>
      <c r="B27" s="40">
        <f>SUM(B5:B22)+SUM(B23:B26)</f>
        <v>18585</v>
      </c>
      <c r="C27" s="85">
        <f>B27/B76</f>
        <v>0.34257906645591496</v>
      </c>
      <c r="D27" s="40">
        <f>SUM(D5:D22)+SUM(D23:D26)</f>
        <v>14916.669999999998</v>
      </c>
      <c r="E27" s="86">
        <f>D27/D76</f>
        <v>0.14781877019831555</v>
      </c>
      <c r="F27" s="40">
        <f>SUM(F5:F26)</f>
        <v>19210</v>
      </c>
      <c r="G27" s="40"/>
      <c r="H27" s="40">
        <f>SUM(H5:H26)</f>
        <v>10421.730000000001</v>
      </c>
      <c r="I27" s="40">
        <f>SUM(I5:I26)</f>
        <v>8788.269999999999</v>
      </c>
      <c r="K27" s="79"/>
    </row>
    <row r="28" spans="2:5" ht="13.5" thickTop="1">
      <c r="B28" s="74"/>
      <c r="C28" s="75"/>
      <c r="D28" s="74"/>
      <c r="E28" s="76"/>
    </row>
    <row r="29" spans="1:5" ht="12.75">
      <c r="A29" s="69" t="s">
        <v>9</v>
      </c>
      <c r="B29" s="74"/>
      <c r="C29" s="75"/>
      <c r="D29" s="74"/>
      <c r="E29" s="76"/>
    </row>
    <row r="30" spans="2:5" ht="12.75">
      <c r="B30" s="74"/>
      <c r="C30" s="75"/>
      <c r="D30" s="74"/>
      <c r="E30" s="76"/>
    </row>
    <row r="31" spans="1:9" s="69" customFormat="1" ht="12.75">
      <c r="A31" s="80" t="s">
        <v>11</v>
      </c>
      <c r="B31" s="39">
        <v>2500</v>
      </c>
      <c r="C31" s="42">
        <f>B31/B76</f>
        <v>0.046082736945912695</v>
      </c>
      <c r="D31" s="39">
        <v>2500</v>
      </c>
      <c r="E31" s="71">
        <f>D31/D76</f>
        <v>0.024774090027854</v>
      </c>
      <c r="F31" s="39">
        <v>2500</v>
      </c>
      <c r="G31" s="42">
        <f>F31/F76</f>
        <v>0.03689927972605975</v>
      </c>
      <c r="H31" s="39">
        <v>2500</v>
      </c>
      <c r="I31" s="87">
        <f>F31-H31</f>
        <v>0</v>
      </c>
    </row>
    <row r="32" spans="1:9" s="69" customFormat="1" ht="12.75">
      <c r="A32" s="80" t="s">
        <v>10</v>
      </c>
      <c r="B32" s="39">
        <v>3377.5</v>
      </c>
      <c r="C32" s="42">
        <f>B32/B76</f>
        <v>0.06225777761392805</v>
      </c>
      <c r="D32" s="39">
        <v>2765.63</v>
      </c>
      <c r="E32" s="71">
        <f>D32/D76</f>
        <v>0.027406386641493544</v>
      </c>
      <c r="F32" s="39">
        <f>'Income Budget 15-16'!H3</f>
        <v>2375</v>
      </c>
      <c r="G32" s="42">
        <f>F32/F76</f>
        <v>0.03505431573975676</v>
      </c>
      <c r="H32" s="39">
        <f>758.3+236.64+21.54</f>
        <v>1016.4799999999999</v>
      </c>
      <c r="I32" s="87">
        <f aca="true" t="shared" si="1" ref="I32:I55">F32-H32</f>
        <v>1358.52</v>
      </c>
    </row>
    <row r="33" spans="1:9" ht="12.75">
      <c r="A33" s="80" t="s">
        <v>13</v>
      </c>
      <c r="B33" s="38">
        <v>2500</v>
      </c>
      <c r="C33" s="73">
        <f>B33/B76</f>
        <v>0.046082736945912695</v>
      </c>
      <c r="D33" s="38">
        <v>1400</v>
      </c>
      <c r="E33" s="76">
        <f>D33/D76</f>
        <v>0.01387349041559824</v>
      </c>
      <c r="F33" s="38">
        <v>3500</v>
      </c>
      <c r="G33" s="73">
        <f>F33/F76</f>
        <v>0.05165899161648364</v>
      </c>
      <c r="H33" s="38">
        <f>1305+740+865</f>
        <v>2910</v>
      </c>
      <c r="I33" s="87">
        <f t="shared" si="1"/>
        <v>590</v>
      </c>
    </row>
    <row r="34" spans="1:9" ht="12.75">
      <c r="A34" s="80" t="s">
        <v>24</v>
      </c>
      <c r="B34" s="39">
        <v>1800</v>
      </c>
      <c r="C34" s="73">
        <f>B34/B76</f>
        <v>0.03317957060105714</v>
      </c>
      <c r="D34" s="38">
        <v>2711.64</v>
      </c>
      <c r="E34" s="76">
        <f>D34/D76</f>
        <v>0.02687136539325201</v>
      </c>
      <c r="F34" s="39">
        <v>1500</v>
      </c>
      <c r="G34" s="73">
        <f>F34/F76</f>
        <v>0.022139567835635848</v>
      </c>
      <c r="H34" s="38">
        <f>60+81.14</f>
        <v>141.14</v>
      </c>
      <c r="I34" s="87">
        <f t="shared" si="1"/>
        <v>1358.8600000000001</v>
      </c>
    </row>
    <row r="35" spans="1:9" s="69" customFormat="1" ht="12.75">
      <c r="A35" s="80" t="s">
        <v>86</v>
      </c>
      <c r="B35" s="39">
        <v>1500</v>
      </c>
      <c r="C35" s="42">
        <f>B35/B76</f>
        <v>0.027649642167547617</v>
      </c>
      <c r="D35" s="39">
        <v>1500</v>
      </c>
      <c r="E35" s="71"/>
      <c r="F35" s="39">
        <v>12000</v>
      </c>
      <c r="G35" s="42">
        <f>F35/F76</f>
        <v>0.17711654268508678</v>
      </c>
      <c r="H35" s="39">
        <v>909</v>
      </c>
      <c r="I35" s="87">
        <f t="shared" si="1"/>
        <v>11091</v>
      </c>
    </row>
    <row r="36" spans="1:9" s="69" customFormat="1" ht="12.75">
      <c r="A36" s="80" t="s">
        <v>75</v>
      </c>
      <c r="B36" s="39">
        <v>250</v>
      </c>
      <c r="C36" s="42"/>
      <c r="D36" s="39"/>
      <c r="E36" s="71"/>
      <c r="F36" s="39">
        <v>250</v>
      </c>
      <c r="G36" s="42"/>
      <c r="H36" s="39"/>
      <c r="I36" s="87">
        <f t="shared" si="1"/>
        <v>250</v>
      </c>
    </row>
    <row r="37" spans="1:9" s="69" customFormat="1" ht="12.75">
      <c r="A37" s="80" t="s">
        <v>71</v>
      </c>
      <c r="B37" s="39">
        <v>1000</v>
      </c>
      <c r="C37" s="42"/>
      <c r="D37" s="39">
        <v>1000</v>
      </c>
      <c r="E37" s="71"/>
      <c r="F37" s="39">
        <v>0</v>
      </c>
      <c r="G37" s="42"/>
      <c r="H37" s="39"/>
      <c r="I37" s="87">
        <f t="shared" si="1"/>
        <v>0</v>
      </c>
    </row>
    <row r="38" spans="1:9" s="69" customFormat="1" ht="12.75">
      <c r="A38" s="80" t="s">
        <v>59</v>
      </c>
      <c r="B38" s="39">
        <v>1500</v>
      </c>
      <c r="C38" s="42">
        <f>B38/B76</f>
        <v>0.027649642167547617</v>
      </c>
      <c r="D38" s="39">
        <v>1445</v>
      </c>
      <c r="E38" s="71"/>
      <c r="F38" s="39">
        <v>1800</v>
      </c>
      <c r="G38" s="42">
        <f>F38/F76</f>
        <v>0.026567481402763018</v>
      </c>
      <c r="H38" s="39">
        <v>1800</v>
      </c>
      <c r="I38" s="87">
        <f t="shared" si="1"/>
        <v>0</v>
      </c>
    </row>
    <row r="39" spans="1:9" s="69" customFormat="1" ht="12.75">
      <c r="A39" s="80" t="s">
        <v>74</v>
      </c>
      <c r="B39" s="39">
        <v>5000</v>
      </c>
      <c r="C39" s="42">
        <f>B39/B76</f>
        <v>0.09216547389182539</v>
      </c>
      <c r="D39" s="39">
        <v>13154.1</v>
      </c>
      <c r="E39" s="71">
        <f>D39/D76</f>
        <v>0.13035234305415772</v>
      </c>
      <c r="F39" s="39">
        <v>0</v>
      </c>
      <c r="G39" s="42">
        <f>F39/F76</f>
        <v>0</v>
      </c>
      <c r="H39" s="39"/>
      <c r="I39" s="87">
        <f t="shared" si="1"/>
        <v>0</v>
      </c>
    </row>
    <row r="40" spans="1:9" s="69" customFormat="1" ht="12.75">
      <c r="A40" s="80" t="s">
        <v>87</v>
      </c>
      <c r="B40" s="39">
        <v>400</v>
      </c>
      <c r="C40" s="42">
        <f>B40/B76</f>
        <v>0.00737323791134603</v>
      </c>
      <c r="D40" s="39">
        <v>86.9</v>
      </c>
      <c r="E40" s="71">
        <f>D40/D76</f>
        <v>0.0008611473693682051</v>
      </c>
      <c r="F40" s="39">
        <v>400</v>
      </c>
      <c r="G40" s="42">
        <f>F40/F76</f>
        <v>0.00590388475616956</v>
      </c>
      <c r="H40" s="39">
        <v>86.9</v>
      </c>
      <c r="I40" s="87">
        <f t="shared" si="1"/>
        <v>313.1</v>
      </c>
    </row>
    <row r="41" spans="1:9" s="69" customFormat="1" ht="12.75">
      <c r="A41" s="80" t="s">
        <v>69</v>
      </c>
      <c r="B41" s="39">
        <v>500</v>
      </c>
      <c r="C41" s="42"/>
      <c r="D41" s="39">
        <v>479.62</v>
      </c>
      <c r="E41" s="71"/>
      <c r="F41" s="39">
        <v>550</v>
      </c>
      <c r="G41" s="42"/>
      <c r="H41" s="39">
        <v>372.37</v>
      </c>
      <c r="I41" s="87">
        <f t="shared" si="1"/>
        <v>177.63</v>
      </c>
    </row>
    <row r="42" spans="1:9" ht="12.75">
      <c r="A42" s="80" t="s">
        <v>14</v>
      </c>
      <c r="B42" s="39">
        <v>125</v>
      </c>
      <c r="C42" s="73">
        <f>B42/B76</f>
        <v>0.0023041368472956347</v>
      </c>
      <c r="D42" s="38">
        <v>18.84</v>
      </c>
      <c r="E42" s="76">
        <f>D42/D76</f>
        <v>0.00018669754244990774</v>
      </c>
      <c r="F42" s="39">
        <v>125</v>
      </c>
      <c r="G42" s="73">
        <f>F42/F76</f>
        <v>0.0018449639863029874</v>
      </c>
      <c r="H42" s="38">
        <v>51.42</v>
      </c>
      <c r="I42" s="87">
        <f t="shared" si="1"/>
        <v>73.58</v>
      </c>
    </row>
    <row r="43" spans="1:9" s="69" customFormat="1" ht="12.75">
      <c r="A43" s="80" t="s">
        <v>60</v>
      </c>
      <c r="B43" s="39">
        <v>150</v>
      </c>
      <c r="C43" s="42">
        <f>B43/B76</f>
        <v>0.0027649642167547617</v>
      </c>
      <c r="D43" s="39"/>
      <c r="E43" s="71"/>
      <c r="F43" s="39">
        <v>150</v>
      </c>
      <c r="G43" s="42">
        <f>F43/F76</f>
        <v>0.0022139567835635847</v>
      </c>
      <c r="H43" s="39"/>
      <c r="I43" s="87">
        <f t="shared" si="1"/>
        <v>150</v>
      </c>
    </row>
    <row r="44" spans="1:9" ht="12.75">
      <c r="A44" s="80" t="s">
        <v>65</v>
      </c>
      <c r="B44" s="39">
        <v>500</v>
      </c>
      <c r="C44" s="73">
        <f>B44/B76</f>
        <v>0.009216547389182539</v>
      </c>
      <c r="D44" s="38">
        <v>520</v>
      </c>
      <c r="E44" s="76">
        <f>D44/D76</f>
        <v>0.005153010725793632</v>
      </c>
      <c r="F44" s="39">
        <v>550</v>
      </c>
      <c r="G44" s="73">
        <f>F44/F76</f>
        <v>0.008117841539733144</v>
      </c>
      <c r="H44" s="38">
        <v>520</v>
      </c>
      <c r="I44" s="87">
        <f aca="true" t="shared" si="2" ref="I44:I49">F44-H44</f>
        <v>30</v>
      </c>
    </row>
    <row r="45" spans="1:9" ht="12.75">
      <c r="A45" s="80" t="s">
        <v>88</v>
      </c>
      <c r="B45" s="39">
        <v>0</v>
      </c>
      <c r="D45" s="39">
        <v>0</v>
      </c>
      <c r="F45" s="34">
        <v>1200</v>
      </c>
      <c r="I45" s="87">
        <f t="shared" si="2"/>
        <v>1200</v>
      </c>
    </row>
    <row r="46" spans="1:9" ht="12.75">
      <c r="A46" s="80" t="s">
        <v>89</v>
      </c>
      <c r="B46" s="39">
        <v>0</v>
      </c>
      <c r="C46" s="73"/>
      <c r="D46" s="38">
        <v>0</v>
      </c>
      <c r="E46" s="76"/>
      <c r="F46" s="39">
        <v>100</v>
      </c>
      <c r="H46" s="38"/>
      <c r="I46" s="87">
        <f t="shared" si="2"/>
        <v>100</v>
      </c>
    </row>
    <row r="47" spans="1:9" ht="12.75">
      <c r="A47" s="80" t="s">
        <v>90</v>
      </c>
      <c r="B47" s="39">
        <v>0</v>
      </c>
      <c r="C47" s="73"/>
      <c r="D47" s="38">
        <v>0</v>
      </c>
      <c r="E47" s="76"/>
      <c r="F47" s="39">
        <v>1500</v>
      </c>
      <c r="H47" s="38"/>
      <c r="I47" s="87">
        <f t="shared" si="2"/>
        <v>1500</v>
      </c>
    </row>
    <row r="48" spans="1:9" ht="12.75">
      <c r="A48" s="80" t="s">
        <v>91</v>
      </c>
      <c r="B48" s="39">
        <v>0</v>
      </c>
      <c r="C48" s="73"/>
      <c r="D48" s="38">
        <v>0</v>
      </c>
      <c r="E48" s="76"/>
      <c r="F48" s="39">
        <v>1000</v>
      </c>
      <c r="H48" s="38">
        <v>424.85</v>
      </c>
      <c r="I48" s="87">
        <f t="shared" si="2"/>
        <v>575.15</v>
      </c>
    </row>
    <row r="49" spans="1:9" ht="12.75">
      <c r="A49" s="80" t="s">
        <v>92</v>
      </c>
      <c r="B49" s="39"/>
      <c r="C49" s="73"/>
      <c r="D49" s="38"/>
      <c r="E49" s="76"/>
      <c r="F49" s="39">
        <v>100</v>
      </c>
      <c r="H49" s="38"/>
      <c r="I49" s="87">
        <f t="shared" si="2"/>
        <v>100</v>
      </c>
    </row>
    <row r="50" spans="1:9" ht="12.75">
      <c r="A50" s="80" t="s">
        <v>12</v>
      </c>
      <c r="B50" s="39">
        <v>2087.75</v>
      </c>
      <c r="C50" s="73">
        <f>B50/B76</f>
        <v>0.03848369362353169</v>
      </c>
      <c r="D50" s="38">
        <v>1977.99</v>
      </c>
      <c r="E50" s="76">
        <f>D50/D76</f>
        <v>0.019601160933677975</v>
      </c>
      <c r="F50" s="39">
        <f>'Income Budget 15-16'!H5</f>
        <v>1142</v>
      </c>
      <c r="G50" s="73">
        <f>F50/F76</f>
        <v>0.016855590978864094</v>
      </c>
      <c r="H50" s="38">
        <f>702.66+95.54</f>
        <v>798.1999999999999</v>
      </c>
      <c r="I50" s="87">
        <f>F50-H50</f>
        <v>343.80000000000007</v>
      </c>
    </row>
    <row r="51" spans="1:9" ht="12.75">
      <c r="A51" s="80" t="s">
        <v>29</v>
      </c>
      <c r="B51" s="39">
        <v>500</v>
      </c>
      <c r="C51" s="73">
        <f>B51/B76</f>
        <v>0.009216547389182539</v>
      </c>
      <c r="D51" s="38">
        <v>399.8</v>
      </c>
      <c r="E51" s="76">
        <f>D51/D76</f>
        <v>0.003961872477254412</v>
      </c>
      <c r="F51" s="39">
        <v>500</v>
      </c>
      <c r="G51" s="73">
        <f>F51/F76</f>
        <v>0.00737985594521195</v>
      </c>
      <c r="H51" s="38"/>
      <c r="I51" s="87">
        <f t="shared" si="1"/>
        <v>500</v>
      </c>
    </row>
    <row r="52" spans="1:9" s="69" customFormat="1" ht="12.75">
      <c r="A52" s="80" t="s">
        <v>93</v>
      </c>
      <c r="B52" s="39">
        <v>5000</v>
      </c>
      <c r="C52" s="42">
        <f>B52/B76</f>
        <v>0.09216547389182539</v>
      </c>
      <c r="D52" s="39">
        <v>49937.87</v>
      </c>
      <c r="E52" s="71">
        <f>D52/D76</f>
        <v>0.4948661148717078</v>
      </c>
      <c r="F52" s="39">
        <v>5000</v>
      </c>
      <c r="G52" s="42">
        <f>F52/F76</f>
        <v>0.0737985594521195</v>
      </c>
      <c r="H52" s="39">
        <f>1673.74+28</f>
        <v>1701.74</v>
      </c>
      <c r="I52" s="87">
        <f t="shared" si="1"/>
        <v>3298.26</v>
      </c>
    </row>
    <row r="53" spans="1:9" s="69" customFormat="1" ht="12.75">
      <c r="A53" s="80" t="s">
        <v>94</v>
      </c>
      <c r="B53" s="39"/>
      <c r="C53" s="42"/>
      <c r="D53" s="39"/>
      <c r="E53" s="71"/>
      <c r="F53" s="39">
        <v>5000</v>
      </c>
      <c r="G53" s="42"/>
      <c r="H53" s="39">
        <v>0</v>
      </c>
      <c r="I53" s="87">
        <f t="shared" si="1"/>
        <v>5000</v>
      </c>
    </row>
    <row r="54" spans="1:9" s="69" customFormat="1" ht="12.75">
      <c r="A54" s="80" t="s">
        <v>76</v>
      </c>
      <c r="B54" s="39">
        <v>500</v>
      </c>
      <c r="C54" s="42">
        <f>B54/B76</f>
        <v>0.009216547389182539</v>
      </c>
      <c r="D54" s="39">
        <v>-37.62</v>
      </c>
      <c r="E54" s="71">
        <f>D54/D76</f>
        <v>-0.00037280050673914696</v>
      </c>
      <c r="F54" s="39">
        <v>1100</v>
      </c>
      <c r="G54" s="42">
        <f>F54/F76</f>
        <v>0.01623568307946629</v>
      </c>
      <c r="H54" s="39">
        <f>'Expense info'!E20</f>
        <v>217.2700000000001</v>
      </c>
      <c r="I54" s="87">
        <f t="shared" si="1"/>
        <v>882.7299999999999</v>
      </c>
    </row>
    <row r="55" spans="1:9" s="69" customFormat="1" ht="12.75">
      <c r="A55" s="80" t="s">
        <v>84</v>
      </c>
      <c r="B55" s="39">
        <v>200</v>
      </c>
      <c r="C55" s="42">
        <f>B55/B76</f>
        <v>0.003686618955673015</v>
      </c>
      <c r="D55" s="39">
        <v>200</v>
      </c>
      <c r="E55" s="71">
        <f>D55/D76</f>
        <v>0.00198192720222832</v>
      </c>
      <c r="F55" s="39">
        <v>0</v>
      </c>
      <c r="G55" s="42">
        <f>F55/F76</f>
        <v>0</v>
      </c>
      <c r="H55" s="37"/>
      <c r="I55" s="87">
        <f t="shared" si="1"/>
        <v>0</v>
      </c>
    </row>
    <row r="56" spans="1:9" s="69" customFormat="1" ht="12.75">
      <c r="A56" s="88" t="s">
        <v>193</v>
      </c>
      <c r="B56" s="39"/>
      <c r="C56" s="42"/>
      <c r="D56" s="39"/>
      <c r="E56" s="71"/>
      <c r="F56" s="39"/>
      <c r="G56" s="42"/>
      <c r="H56" s="39">
        <f>27.69+49.96+55.38</f>
        <v>133.03</v>
      </c>
      <c r="I56" s="87">
        <f>H56</f>
        <v>133.03</v>
      </c>
    </row>
    <row r="57" spans="1:9" s="69" customFormat="1" ht="12.75">
      <c r="A57" s="88" t="s">
        <v>198</v>
      </c>
      <c r="B57" s="39"/>
      <c r="C57" s="42"/>
      <c r="D57" s="39"/>
      <c r="E57" s="71"/>
      <c r="F57" s="39"/>
      <c r="G57" s="42"/>
      <c r="H57" s="39">
        <f>-'Expense info'!J20</f>
        <v>-93.54999999999998</v>
      </c>
      <c r="I57" s="87">
        <f>H57</f>
        <v>-93.54999999999998</v>
      </c>
    </row>
    <row r="58" spans="1:11" ht="13.5" thickBot="1">
      <c r="A58" s="84" t="s">
        <v>15</v>
      </c>
      <c r="B58" s="40">
        <f>SUM(B31:B55)</f>
        <v>29390.25</v>
      </c>
      <c r="C58" s="85">
        <f>B58/B76</f>
        <v>0.5417532638098442</v>
      </c>
      <c r="D58" s="40">
        <f>SUM(D31:D55)</f>
        <v>80059.77000000002</v>
      </c>
      <c r="E58" s="86">
        <f>D58/D76</f>
        <v>0.7933631798357141</v>
      </c>
      <c r="F58" s="40">
        <f>SUM(F31:F55)</f>
        <v>42342</v>
      </c>
      <c r="G58" s="86">
        <f>F58/F76</f>
        <v>0.6249557208643287</v>
      </c>
      <c r="H58" s="40">
        <f>SUM(H31:H57)</f>
        <v>13488.850000000002</v>
      </c>
      <c r="I58" s="40">
        <f>SUM(I31:I57)</f>
        <v>28932.11</v>
      </c>
      <c r="K58" s="79"/>
    </row>
    <row r="59" spans="2:8" ht="13.5" thickTop="1">
      <c r="B59" s="74"/>
      <c r="C59" s="75"/>
      <c r="D59" s="74"/>
      <c r="E59" s="76"/>
      <c r="F59" s="35"/>
      <c r="H59" s="35"/>
    </row>
    <row r="60" spans="1:8" ht="12.75">
      <c r="A60" s="69" t="s">
        <v>16</v>
      </c>
      <c r="B60" s="37"/>
      <c r="C60" s="70"/>
      <c r="D60" s="37"/>
      <c r="E60" s="76"/>
      <c r="F60" s="36"/>
      <c r="H60" s="36"/>
    </row>
    <row r="61" spans="2:8" ht="12.75">
      <c r="B61" s="74"/>
      <c r="C61" s="75"/>
      <c r="D61" s="74"/>
      <c r="E61" s="76"/>
      <c r="F61" s="36"/>
      <c r="H61" s="36"/>
    </row>
    <row r="62" spans="1:9" s="69" customFormat="1" ht="12.75">
      <c r="A62" s="80" t="s">
        <v>95</v>
      </c>
      <c r="B62" s="39">
        <v>0</v>
      </c>
      <c r="C62" s="42">
        <f>B62/B76</f>
        <v>0</v>
      </c>
      <c r="D62" s="39"/>
      <c r="E62" s="78">
        <f>D62/D76</f>
        <v>0</v>
      </c>
      <c r="F62" s="39">
        <v>125</v>
      </c>
      <c r="G62" s="42">
        <f>F62/F76</f>
        <v>0.0018449639863029874</v>
      </c>
      <c r="H62" s="39"/>
      <c r="I62" s="87">
        <f>F62-H62</f>
        <v>125</v>
      </c>
    </row>
    <row r="63" spans="1:9" ht="12.75">
      <c r="A63" s="77" t="s">
        <v>51</v>
      </c>
      <c r="B63" s="38">
        <v>100</v>
      </c>
      <c r="C63" s="89">
        <f>B63/B76</f>
        <v>0.0018433094778365076</v>
      </c>
      <c r="D63" s="38">
        <v>260</v>
      </c>
      <c r="E63" s="76">
        <f>D63/D76</f>
        <v>0.002576505362896816</v>
      </c>
      <c r="F63" s="38">
        <v>100</v>
      </c>
      <c r="G63" s="89">
        <f>F63/F76</f>
        <v>0.00147597118904239</v>
      </c>
      <c r="H63" s="38">
        <f>50+55</f>
        <v>105</v>
      </c>
      <c r="I63" s="87">
        <f aca="true" t="shared" si="3" ref="I63:I73">F63-H63</f>
        <v>-5</v>
      </c>
    </row>
    <row r="64" spans="1:9" s="83" customFormat="1" ht="12.75">
      <c r="A64" s="80" t="s">
        <v>17</v>
      </c>
      <c r="B64" s="39">
        <v>1000</v>
      </c>
      <c r="C64" s="89">
        <f>B64/B76</f>
        <v>0.018433094778365078</v>
      </c>
      <c r="D64" s="39">
        <v>450</v>
      </c>
      <c r="E64" s="78">
        <f>D64/D76</f>
        <v>0.00445933620501372</v>
      </c>
      <c r="F64" s="39">
        <v>500</v>
      </c>
      <c r="G64" s="89">
        <f>F64/F76</f>
        <v>0.00737985594521195</v>
      </c>
      <c r="H64" s="39"/>
      <c r="I64" s="87">
        <f t="shared" si="3"/>
        <v>500</v>
      </c>
    </row>
    <row r="65" spans="1:9" ht="12.75">
      <c r="A65" s="77" t="s">
        <v>19</v>
      </c>
      <c r="B65" s="38">
        <v>575</v>
      </c>
      <c r="C65" s="89">
        <f>B65/B76</f>
        <v>0.01059902949755992</v>
      </c>
      <c r="D65" s="38">
        <v>395</v>
      </c>
      <c r="E65" s="76">
        <f>D65/D76</f>
        <v>0.003914306224400932</v>
      </c>
      <c r="F65" s="38">
        <v>575</v>
      </c>
      <c r="G65" s="89">
        <f>F65/F76</f>
        <v>0.008486834336993742</v>
      </c>
      <c r="H65" s="38">
        <v>395</v>
      </c>
      <c r="I65" s="87">
        <f t="shared" si="3"/>
        <v>180</v>
      </c>
    </row>
    <row r="66" spans="1:9" ht="12.75">
      <c r="A66" s="77" t="s">
        <v>21</v>
      </c>
      <c r="B66" s="38">
        <v>500</v>
      </c>
      <c r="C66" s="89">
        <f>B66/B76</f>
        <v>0.009216547389182539</v>
      </c>
      <c r="D66" s="38">
        <v>496.69</v>
      </c>
      <c r="E66" s="76">
        <f>D66/D76</f>
        <v>0.004922017110373922</v>
      </c>
      <c r="F66" s="38">
        <v>500</v>
      </c>
      <c r="G66" s="89">
        <f>F66/F76</f>
        <v>0.00737985594521195</v>
      </c>
      <c r="H66" s="38">
        <v>254.76</v>
      </c>
      <c r="I66" s="87">
        <f t="shared" si="3"/>
        <v>245.24</v>
      </c>
    </row>
    <row r="67" spans="1:9" ht="12.75">
      <c r="A67" s="77" t="s">
        <v>20</v>
      </c>
      <c r="B67" s="38">
        <v>50</v>
      </c>
      <c r="C67" s="89">
        <f>B67/B76</f>
        <v>0.0009216547389182538</v>
      </c>
      <c r="D67" s="38">
        <v>336</v>
      </c>
      <c r="E67" s="76">
        <f>D67/D76</f>
        <v>0.0033296376997435776</v>
      </c>
      <c r="F67" s="38">
        <v>300</v>
      </c>
      <c r="G67" s="89">
        <f>F67/F76</f>
        <v>0.004427913567127169</v>
      </c>
      <c r="H67" s="38">
        <v>62</v>
      </c>
      <c r="I67" s="87">
        <f t="shared" si="3"/>
        <v>238</v>
      </c>
    </row>
    <row r="68" spans="1:9" s="69" customFormat="1" ht="12.75">
      <c r="A68" s="80" t="s">
        <v>66</v>
      </c>
      <c r="B68" s="39">
        <v>200</v>
      </c>
      <c r="C68" s="42">
        <f>B68/B76</f>
        <v>0.003686618955673015</v>
      </c>
      <c r="D68" s="39">
        <v>360.26</v>
      </c>
      <c r="E68" s="71"/>
      <c r="F68" s="39">
        <v>200</v>
      </c>
      <c r="G68" s="42">
        <f>F68/F76</f>
        <v>0.00295194237808478</v>
      </c>
      <c r="H68" s="39"/>
      <c r="I68" s="87">
        <f t="shared" si="3"/>
        <v>200</v>
      </c>
    </row>
    <row r="69" spans="1:9" ht="12.75">
      <c r="A69" s="77" t="s">
        <v>32</v>
      </c>
      <c r="B69" s="38">
        <v>1000</v>
      </c>
      <c r="C69" s="89">
        <f>B69/B76</f>
        <v>0.018433094778365078</v>
      </c>
      <c r="D69" s="38">
        <v>1031.92</v>
      </c>
      <c r="E69" s="76">
        <f>D69/D76</f>
        <v>0.01022595159261724</v>
      </c>
      <c r="F69" s="38">
        <v>1000</v>
      </c>
      <c r="G69" s="89">
        <f>F69/F76</f>
        <v>0.0147597118904239</v>
      </c>
      <c r="H69" s="38">
        <f>22.98+23.99+23.99</f>
        <v>70.96</v>
      </c>
      <c r="I69" s="87">
        <f t="shared" si="3"/>
        <v>929.04</v>
      </c>
    </row>
    <row r="70" spans="1:9" s="83" customFormat="1" ht="12.75">
      <c r="A70" s="80" t="s">
        <v>25</v>
      </c>
      <c r="B70" s="39">
        <v>2000</v>
      </c>
      <c r="C70" s="89">
        <f>B70/B76</f>
        <v>0.036866189556730156</v>
      </c>
      <c r="D70" s="39">
        <v>1855</v>
      </c>
      <c r="E70" s="78">
        <f>D70/D76</f>
        <v>0.018382374800667668</v>
      </c>
      <c r="F70" s="39">
        <v>2000</v>
      </c>
      <c r="G70" s="89">
        <f>F70/F76</f>
        <v>0.0295194237808478</v>
      </c>
      <c r="H70" s="39"/>
      <c r="I70" s="87">
        <f t="shared" si="3"/>
        <v>2000</v>
      </c>
    </row>
    <row r="71" spans="1:9" s="83" customFormat="1" ht="12.75">
      <c r="A71" s="80" t="s">
        <v>18</v>
      </c>
      <c r="B71" s="39">
        <v>200</v>
      </c>
      <c r="C71" s="89">
        <f>B71/B76</f>
        <v>0.003686618955673015</v>
      </c>
      <c r="D71" s="39">
        <v>90.98</v>
      </c>
      <c r="E71" s="78">
        <f>D71/D76</f>
        <v>0.0009015786842936629</v>
      </c>
      <c r="F71" s="39">
        <v>200</v>
      </c>
      <c r="G71" s="89">
        <f>F71/F76</f>
        <v>0.00295194237808478</v>
      </c>
      <c r="H71" s="39">
        <f>189.99+10.4+74.08</f>
        <v>274.47</v>
      </c>
      <c r="I71" s="87">
        <f t="shared" si="3"/>
        <v>-74.47000000000003</v>
      </c>
    </row>
    <row r="72" spans="1:9" ht="12.75">
      <c r="A72" s="77" t="s">
        <v>22</v>
      </c>
      <c r="B72" s="38">
        <v>500</v>
      </c>
      <c r="C72" s="89">
        <f>B72/B76</f>
        <v>0.009216547389182539</v>
      </c>
      <c r="D72" s="38">
        <v>471.74</v>
      </c>
      <c r="E72" s="76">
        <f>D72/D76</f>
        <v>0.004674771691895938</v>
      </c>
      <c r="F72" s="38">
        <v>500</v>
      </c>
      <c r="G72" s="89">
        <f>F72/F76</f>
        <v>0.00737985594521195</v>
      </c>
      <c r="H72" s="38">
        <v>150</v>
      </c>
      <c r="I72" s="87">
        <f t="shared" si="3"/>
        <v>350</v>
      </c>
    </row>
    <row r="73" spans="1:9" ht="12.75">
      <c r="A73" s="80" t="s">
        <v>67</v>
      </c>
      <c r="B73" s="38">
        <v>150</v>
      </c>
      <c r="C73" s="89">
        <f>B73/B76</f>
        <v>0.0027649642167547617</v>
      </c>
      <c r="D73" s="38">
        <v>187.85</v>
      </c>
      <c r="E73" s="76">
        <f>D73/D76</f>
        <v>0.0018615251246929495</v>
      </c>
      <c r="F73" s="38">
        <v>200</v>
      </c>
      <c r="G73" s="89">
        <f>F73/F76</f>
        <v>0.00295194237808478</v>
      </c>
      <c r="H73" s="38">
        <v>145.35</v>
      </c>
      <c r="I73" s="87">
        <f t="shared" si="3"/>
        <v>54.650000000000006</v>
      </c>
    </row>
    <row r="74" spans="1:11" ht="13.5" thickBot="1">
      <c r="A74" s="84" t="s">
        <v>23</v>
      </c>
      <c r="B74" s="40">
        <f>SUM(B62:B73)</f>
        <v>6275</v>
      </c>
      <c r="C74" s="85">
        <f>B74/B76</f>
        <v>0.11566766973424085</v>
      </c>
      <c r="D74" s="40">
        <f>SUM(D62:D73)</f>
        <v>5935.44</v>
      </c>
      <c r="E74" s="86">
        <f>D74/D76</f>
        <v>0.058818049965970294</v>
      </c>
      <c r="F74" s="40">
        <f>SUM(F62:F73)</f>
        <v>6200</v>
      </c>
      <c r="G74" s="86">
        <f>F74/F76</f>
        <v>0.09151021372062818</v>
      </c>
      <c r="H74" s="40">
        <f>SUM(H62:H73)</f>
        <v>1457.54</v>
      </c>
      <c r="I74" s="40">
        <f>SUM(I62:I73)</f>
        <v>4742.459999999999</v>
      </c>
      <c r="K74" s="79"/>
    </row>
    <row r="75" spans="2:9" ht="13.5" thickTop="1">
      <c r="B75" s="74"/>
      <c r="C75" s="75"/>
      <c r="D75" s="74"/>
      <c r="E75" s="76"/>
      <c r="F75" s="38"/>
      <c r="H75" s="38"/>
      <c r="I75" s="38"/>
    </row>
    <row r="76" spans="1:11" ht="13.5" thickBot="1">
      <c r="A76" s="84" t="s">
        <v>30</v>
      </c>
      <c r="B76" s="40">
        <f>B74+B58+B27</f>
        <v>54250.25</v>
      </c>
      <c r="C76" s="90">
        <f>C74+C58+C27</f>
        <v>1</v>
      </c>
      <c r="D76" s="40">
        <f>D74+D58+D27</f>
        <v>100911.88000000002</v>
      </c>
      <c r="E76" s="86">
        <f>D76/D76</f>
        <v>1</v>
      </c>
      <c r="F76" s="40">
        <f>F74+F58+F27</f>
        <v>67752</v>
      </c>
      <c r="G76" s="86">
        <f>G74+G58+G27</f>
        <v>0.7164659345849569</v>
      </c>
      <c r="H76" s="40">
        <f>H74+H58+H27</f>
        <v>25368.120000000003</v>
      </c>
      <c r="I76" s="40">
        <f>I74+I58+I27</f>
        <v>42462.84</v>
      </c>
      <c r="K76" s="79"/>
    </row>
    <row r="77" ht="13.5" thickTop="1"/>
    <row r="78" ht="12.75">
      <c r="B78" s="74"/>
    </row>
    <row r="79" spans="2:8" ht="12.75">
      <c r="B79" s="34"/>
      <c r="C79" s="34"/>
      <c r="D79" s="34"/>
      <c r="E79" s="34"/>
      <c r="F79" s="91"/>
      <c r="H79" s="91"/>
    </row>
    <row r="80" ht="12.75">
      <c r="A80" s="69"/>
    </row>
    <row r="81" ht="12.75">
      <c r="A81" s="83"/>
    </row>
    <row r="82" spans="1:8" ht="12.75">
      <c r="A82" s="83"/>
      <c r="B82" s="79"/>
      <c r="D82" s="79"/>
      <c r="F82" s="39"/>
      <c r="H82" s="39"/>
    </row>
    <row r="83" ht="12.75">
      <c r="D83" s="79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6">
      <selection activeCell="H23" sqref="H23"/>
    </sheetView>
  </sheetViews>
  <sheetFormatPr defaultColWidth="8.8515625" defaultRowHeight="12.75"/>
  <cols>
    <col min="1" max="1" width="3.140625" style="0" customWidth="1"/>
    <col min="2" max="2" width="57.28125" style="0" bestFit="1" customWidth="1"/>
    <col min="3" max="3" width="6.28125" style="0" customWidth="1"/>
    <col min="4" max="4" width="21.00390625" style="0" customWidth="1"/>
    <col min="5" max="7" width="8.8515625" style="0" customWidth="1"/>
    <col min="8" max="8" width="17.140625" style="0" customWidth="1"/>
  </cols>
  <sheetData>
    <row r="1" spans="1:5" ht="19.5">
      <c r="A1" s="47" t="s">
        <v>98</v>
      </c>
      <c r="B1" s="47"/>
      <c r="C1" s="47"/>
      <c r="D1" s="47"/>
      <c r="E1" s="47"/>
    </row>
    <row r="2" spans="1:5" ht="19.5">
      <c r="A2" s="47" t="s">
        <v>99</v>
      </c>
      <c r="B2" s="47"/>
      <c r="C2" s="47"/>
      <c r="D2" s="47"/>
      <c r="E2" s="47"/>
    </row>
    <row r="3" spans="1:5" ht="19.5">
      <c r="A3" s="48" t="s">
        <v>196</v>
      </c>
      <c r="B3" s="47"/>
      <c r="C3" s="47"/>
      <c r="D3" s="47"/>
      <c r="E3" s="47"/>
    </row>
    <row r="4" spans="1:5" ht="19.5">
      <c r="A4" s="47"/>
      <c r="B4" s="47"/>
      <c r="C4" s="47"/>
      <c r="D4" s="47"/>
      <c r="E4" s="47"/>
    </row>
    <row r="5" spans="1:5" ht="19.5">
      <c r="A5" s="47"/>
      <c r="B5" s="47"/>
      <c r="C5" s="47"/>
      <c r="D5" s="47"/>
      <c r="E5" s="47"/>
    </row>
    <row r="6" spans="1:5" ht="19.5">
      <c r="A6" s="47" t="s">
        <v>197</v>
      </c>
      <c r="B6" s="47"/>
      <c r="C6" s="47"/>
      <c r="D6" s="47"/>
      <c r="E6" s="47"/>
    </row>
    <row r="7" spans="1:5" ht="19.5">
      <c r="A7" s="47"/>
      <c r="B7" s="47"/>
      <c r="C7" s="47"/>
      <c r="D7" s="47"/>
      <c r="E7" s="47"/>
    </row>
    <row r="8" spans="1:5" ht="19.5">
      <c r="A8" s="47"/>
      <c r="B8" s="47"/>
      <c r="C8" s="47"/>
      <c r="D8" s="47"/>
      <c r="E8" s="47"/>
    </row>
    <row r="9" spans="1:5" ht="19.5">
      <c r="A9" s="47"/>
      <c r="B9" s="47" t="s">
        <v>101</v>
      </c>
      <c r="C9" s="47"/>
      <c r="D9" s="49">
        <v>34582.94</v>
      </c>
      <c r="E9" s="47"/>
    </row>
    <row r="10" spans="1:5" ht="19.5">
      <c r="A10" s="47"/>
      <c r="B10" s="47" t="s">
        <v>102</v>
      </c>
      <c r="C10" s="47"/>
      <c r="D10" s="49">
        <v>81312.05</v>
      </c>
      <c r="E10" s="47"/>
    </row>
    <row r="11" spans="1:5" ht="19.5">
      <c r="A11" s="47"/>
      <c r="B11" s="47" t="s">
        <v>103</v>
      </c>
      <c r="C11" s="47"/>
      <c r="D11" s="49">
        <v>0</v>
      </c>
      <c r="E11" s="47"/>
    </row>
    <row r="12" spans="1:5" ht="19.5">
      <c r="A12" s="47" t="s">
        <v>100</v>
      </c>
      <c r="B12" s="47"/>
      <c r="C12" s="47"/>
      <c r="D12" s="50">
        <f>SUM(D9:D11)</f>
        <v>115894.99</v>
      </c>
      <c r="E12" s="47"/>
    </row>
    <row r="13" spans="1:5" ht="19.5">
      <c r="A13" s="47"/>
      <c r="B13" s="47"/>
      <c r="C13" s="47"/>
      <c r="D13" s="49"/>
      <c r="E13" s="47"/>
    </row>
    <row r="14" spans="1:5" ht="19.5">
      <c r="A14" s="47" t="s">
        <v>104</v>
      </c>
      <c r="B14" s="47"/>
      <c r="C14" s="47"/>
      <c r="D14" s="49"/>
      <c r="E14" s="47"/>
    </row>
    <row r="15" spans="1:5" ht="19.5">
      <c r="A15" s="47"/>
      <c r="B15" s="47" t="s">
        <v>105</v>
      </c>
      <c r="C15" s="47"/>
      <c r="D15" s="49">
        <v>-51235.34</v>
      </c>
      <c r="E15" s="47"/>
    </row>
    <row r="16" spans="1:5" ht="19.5">
      <c r="A16" s="47"/>
      <c r="B16" s="47" t="s">
        <v>106</v>
      </c>
      <c r="C16" s="47"/>
      <c r="D16" s="49">
        <v>-16000</v>
      </c>
      <c r="E16" s="47"/>
    </row>
    <row r="17" spans="1:5" ht="19.5">
      <c r="A17" s="47"/>
      <c r="B17" s="47" t="s">
        <v>107</v>
      </c>
      <c r="C17" s="47"/>
      <c r="D17" s="49">
        <f>-1810.37-31.49-1169.59-30452.9</f>
        <v>-33464.35</v>
      </c>
      <c r="E17" s="47"/>
    </row>
    <row r="18" spans="1:5" ht="19.5">
      <c r="A18" s="47" t="s">
        <v>108</v>
      </c>
      <c r="B18" s="47"/>
      <c r="C18" s="47"/>
      <c r="D18" s="50">
        <f>SUM(D15:D17)</f>
        <v>-100699.69</v>
      </c>
      <c r="E18" s="47"/>
    </row>
    <row r="19" spans="1:5" ht="19.5">
      <c r="A19" s="47"/>
      <c r="B19" s="47"/>
      <c r="C19" s="47"/>
      <c r="D19" s="49"/>
      <c r="E19" s="47"/>
    </row>
    <row r="20" spans="1:5" ht="21" thickBot="1">
      <c r="A20" s="47" t="s">
        <v>109</v>
      </c>
      <c r="B20" s="47"/>
      <c r="C20" s="47"/>
      <c r="D20" s="51">
        <f>D12+D18</f>
        <v>15195.300000000003</v>
      </c>
      <c r="E20" s="47"/>
    </row>
    <row r="21" spans="1:5" ht="21" thickTop="1">
      <c r="A21" s="47"/>
      <c r="B21" s="47"/>
      <c r="C21" s="47"/>
      <c r="D21" s="49"/>
      <c r="E21" s="47"/>
    </row>
    <row r="22" spans="1:5" ht="19.5">
      <c r="A22" s="47"/>
      <c r="B22" s="47"/>
      <c r="C22" s="47"/>
      <c r="D22" s="49"/>
      <c r="E22" s="47"/>
    </row>
    <row r="23" spans="1:5" ht="19.5">
      <c r="A23" s="47"/>
      <c r="B23" s="47"/>
      <c r="C23" s="47"/>
      <c r="D23" s="49"/>
      <c r="E23" s="47"/>
    </row>
    <row r="24" spans="1:5" ht="19.5">
      <c r="A24" s="47" t="s">
        <v>110</v>
      </c>
      <c r="B24" s="47"/>
      <c r="C24" s="47"/>
      <c r="D24" s="49"/>
      <c r="E24" s="47"/>
    </row>
    <row r="25" spans="1:5" ht="19.5">
      <c r="A25" s="47"/>
      <c r="B25" s="47" t="s">
        <v>111</v>
      </c>
      <c r="C25" s="47"/>
      <c r="D25" s="49">
        <v>67752</v>
      </c>
      <c r="E25" s="47"/>
    </row>
    <row r="26" spans="1:5" ht="19.5">
      <c r="A26" s="47"/>
      <c r="B26" s="47"/>
      <c r="C26" s="47"/>
      <c r="D26" s="49"/>
      <c r="E26" s="47"/>
    </row>
    <row r="27" spans="1:5" ht="19.5">
      <c r="A27" s="47"/>
      <c r="B27" s="47"/>
      <c r="C27" s="47"/>
      <c r="D27" s="49"/>
      <c r="E27" s="47"/>
    </row>
    <row r="28" spans="1:5" ht="19.5">
      <c r="A28" s="47"/>
      <c r="B28" s="47"/>
      <c r="C28" s="47"/>
      <c r="D28" s="49"/>
      <c r="E28" s="47"/>
    </row>
    <row r="29" spans="1:5" ht="19.5">
      <c r="A29" s="47"/>
      <c r="B29" s="47"/>
      <c r="C29" s="47"/>
      <c r="D29" s="49"/>
      <c r="E29" s="47"/>
    </row>
    <row r="30" spans="1:5" ht="19.5">
      <c r="A30" s="47"/>
      <c r="B30" s="47"/>
      <c r="C30" s="47"/>
      <c r="D30" s="49"/>
      <c r="E30" s="47"/>
    </row>
    <row r="31" spans="1:5" ht="19.5">
      <c r="A31" s="47"/>
      <c r="B31" s="47"/>
      <c r="C31" s="47"/>
      <c r="D31" s="49"/>
      <c r="E31" s="47"/>
    </row>
    <row r="32" spans="1:5" ht="19.5">
      <c r="A32" s="47"/>
      <c r="B32" s="47"/>
      <c r="C32" s="47"/>
      <c r="D32" s="49"/>
      <c r="E32" s="47"/>
    </row>
    <row r="33" spans="1:5" ht="19.5">
      <c r="A33" s="47"/>
      <c r="B33" s="47"/>
      <c r="C33" s="47"/>
      <c r="D33" s="49"/>
      <c r="E33" s="47"/>
    </row>
    <row r="34" spans="1:5" ht="19.5">
      <c r="A34" s="47"/>
      <c r="B34" s="47"/>
      <c r="C34" s="47"/>
      <c r="D34" s="49"/>
      <c r="E34" s="47"/>
    </row>
    <row r="35" spans="1:5" ht="19.5">
      <c r="A35" s="47"/>
      <c r="B35" s="47"/>
      <c r="C35" s="47"/>
      <c r="D35" s="49"/>
      <c r="E35" s="47"/>
    </row>
    <row r="36" spans="1:5" ht="19.5">
      <c r="A36" s="47"/>
      <c r="B36" s="47"/>
      <c r="C36" s="47"/>
      <c r="D36" s="49"/>
      <c r="E36" s="47"/>
    </row>
    <row r="37" spans="1:5" ht="19.5">
      <c r="A37" s="47"/>
      <c r="B37" s="47"/>
      <c r="C37" s="47"/>
      <c r="D37" s="49"/>
      <c r="E37" s="47"/>
    </row>
    <row r="38" ht="12.75">
      <c r="D38" s="46"/>
    </row>
    <row r="39" ht="12.75">
      <c r="D39" s="46"/>
    </row>
    <row r="40" ht="12.75">
      <c r="D40" s="46"/>
    </row>
    <row r="41" ht="12.75">
      <c r="D41" s="46"/>
    </row>
    <row r="42" ht="12.75">
      <c r="D42" s="46"/>
    </row>
    <row r="43" ht="12.75">
      <c r="D43" s="46"/>
    </row>
    <row r="44" ht="12.75">
      <c r="D44" s="46"/>
    </row>
    <row r="45" ht="12.75">
      <c r="D45" s="46"/>
    </row>
    <row r="46" ht="12.75">
      <c r="D46" s="46"/>
    </row>
    <row r="47" ht="12.75">
      <c r="D47" s="46"/>
    </row>
    <row r="48" ht="12.75">
      <c r="D48" s="46"/>
    </row>
    <row r="49" ht="12.75">
      <c r="D49" s="46"/>
    </row>
    <row r="50" ht="12.75">
      <c r="D50" s="46"/>
    </row>
    <row r="51" ht="12.75">
      <c r="D51" s="46"/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  <row r="59" ht="12.75">
      <c r="D59" s="46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</sheetData>
  <sheetProtection/>
  <printOptions/>
  <pageMargins left="0.75" right="0.75" top="1" bottom="1" header="0.3" footer="0.3"/>
  <pageSetup fitToHeight="1" fitToWidth="1" horizontalDpi="600" verticalDpi="600" orientation="portrait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29.7109375" style="53" bestFit="1" customWidth="1"/>
    <col min="2" max="2" width="8.7109375" style="56" bestFit="1" customWidth="1"/>
    <col min="3" max="3" width="15.7109375" style="53" bestFit="1" customWidth="1"/>
    <col min="4" max="4" width="14.28125" style="53" bestFit="1" customWidth="1"/>
    <col min="5" max="16384" width="10.8515625" style="53" customWidth="1"/>
  </cols>
  <sheetData>
    <row r="1" spans="1:3" ht="15.75">
      <c r="A1" s="58" t="s">
        <v>112</v>
      </c>
      <c r="C1" s="59">
        <v>42471</v>
      </c>
    </row>
    <row r="3" ht="12.75">
      <c r="A3" s="55" t="s">
        <v>113</v>
      </c>
    </row>
    <row r="4" spans="1:5" ht="12.75">
      <c r="A4" s="53" t="s">
        <v>114</v>
      </c>
      <c r="B4" s="56">
        <f>'Income Budget 15-16'!D9</f>
        <v>34854.28</v>
      </c>
      <c r="D4" s="61">
        <v>34854.28</v>
      </c>
      <c r="E4" s="53" t="s">
        <v>148</v>
      </c>
    </row>
    <row r="5" spans="1:5" ht="12.75">
      <c r="A5" s="53" t="s">
        <v>36</v>
      </c>
      <c r="B5" s="56">
        <f>'Income Budget 15-16'!H16</f>
        <v>718.9</v>
      </c>
      <c r="D5" s="61">
        <v>29919.52</v>
      </c>
      <c r="E5" s="53" t="s">
        <v>149</v>
      </c>
    </row>
    <row r="6" spans="1:2" ht="12.75">
      <c r="A6" s="53" t="s">
        <v>44</v>
      </c>
      <c r="B6" s="56">
        <f>'Income Budget 15-16'!H12</f>
        <v>2.81</v>
      </c>
    </row>
    <row r="7" spans="1:2" ht="12.75">
      <c r="A7" s="53" t="s">
        <v>115</v>
      </c>
      <c r="B7" s="56">
        <f>'Income Budget 15-16'!H17</f>
        <v>544.9100000000001</v>
      </c>
    </row>
    <row r="8" spans="1:2" ht="12.75">
      <c r="A8" s="53" t="s">
        <v>137</v>
      </c>
      <c r="B8" s="56">
        <f>'Income Budget 15-16'!H3</f>
        <v>2375</v>
      </c>
    </row>
    <row r="9" spans="1:2" ht="12.75">
      <c r="A9" s="53" t="s">
        <v>138</v>
      </c>
      <c r="B9" s="56">
        <f>'Income Budget 15-16'!H5</f>
        <v>1142</v>
      </c>
    </row>
    <row r="10" spans="1:2" ht="12.75">
      <c r="A10" s="53" t="s">
        <v>139</v>
      </c>
      <c r="B10" s="56">
        <f>'Income Budget 15-16'!H6</f>
        <v>3393.7099999999996</v>
      </c>
    </row>
    <row r="11" spans="1:2" ht="12.75">
      <c r="A11" s="53" t="s">
        <v>49</v>
      </c>
      <c r="B11" s="56">
        <f>'Income Budget 15-16'!H7</f>
        <v>41.559999999999995</v>
      </c>
    </row>
    <row r="12" ht="12.75">
      <c r="A12" s="53" t="s">
        <v>116</v>
      </c>
    </row>
    <row r="13" spans="1:2" ht="12.75">
      <c r="A13" s="53" t="s">
        <v>117</v>
      </c>
      <c r="B13" s="56">
        <f>'Income Budget 15-16'!H20</f>
        <v>1254.59</v>
      </c>
    </row>
    <row r="14" spans="1:2" ht="12.75">
      <c r="A14" s="53" t="s">
        <v>200</v>
      </c>
      <c r="B14" s="56">
        <f>'Income Budget 15-16'!H26</f>
        <v>804.5</v>
      </c>
    </row>
    <row r="15" spans="1:2" ht="12.75">
      <c r="A15" s="53" t="s">
        <v>68</v>
      </c>
      <c r="B15" s="56">
        <f>'Income Budget 15-16'!H23</f>
        <v>776.6100000000006</v>
      </c>
    </row>
    <row r="16" spans="1:6" ht="12.75">
      <c r="A16" s="54" t="s">
        <v>37</v>
      </c>
      <c r="B16" s="57">
        <f>SUM(B4:B15)</f>
        <v>45908.869999999995</v>
      </c>
      <c r="E16" s="56">
        <f>B16-'Income Budget 15-16'!H27</f>
        <v>1368.7399999999907</v>
      </c>
      <c r="F16" s="61">
        <f>D4-D5</f>
        <v>4934.759999999998</v>
      </c>
    </row>
    <row r="18" spans="1:4" ht="12.75">
      <c r="A18" s="54" t="s">
        <v>118</v>
      </c>
      <c r="B18" s="57" t="s">
        <v>119</v>
      </c>
      <c r="C18" s="54" t="s">
        <v>120</v>
      </c>
      <c r="D18" s="54" t="s">
        <v>121</v>
      </c>
    </row>
    <row r="19" spans="1:4" ht="12.75">
      <c r="A19" s="54"/>
      <c r="B19" s="57"/>
      <c r="C19" s="54"/>
      <c r="D19" s="54"/>
    </row>
    <row r="20" ht="12.75">
      <c r="A20" s="54" t="s">
        <v>122</v>
      </c>
    </row>
    <row r="21" spans="1:2" ht="12.75">
      <c r="A21" s="53" t="s">
        <v>97</v>
      </c>
      <c r="B21" s="56">
        <f>'Expense Budget 15-16'!F6</f>
        <v>2460</v>
      </c>
    </row>
    <row r="22" spans="1:2" ht="12.75">
      <c r="A22" s="53" t="s">
        <v>31</v>
      </c>
      <c r="B22" s="56">
        <f>'Expense Budget 15-16'!F8</f>
        <v>200</v>
      </c>
    </row>
    <row r="23" spans="1:2" ht="12.75">
      <c r="A23" s="53" t="s">
        <v>28</v>
      </c>
      <c r="B23" s="56">
        <f>'Expense Budget 15-16'!F11</f>
        <v>1200</v>
      </c>
    </row>
    <row r="24" spans="1:2" ht="12.75">
      <c r="A24" s="53" t="s">
        <v>4</v>
      </c>
      <c r="B24" s="56">
        <f>'Expense Budget 15-16'!F12</f>
        <v>2000</v>
      </c>
    </row>
    <row r="25" spans="1:2" ht="12.75">
      <c r="A25" s="53" t="s">
        <v>3</v>
      </c>
      <c r="B25" s="56">
        <f>'Expense Budget 15-16'!F13</f>
        <v>2500</v>
      </c>
    </row>
    <row r="26" spans="1:2" ht="12.75">
      <c r="A26" s="53" t="s">
        <v>54</v>
      </c>
      <c r="B26" s="56">
        <f>'Expense Budget 15-16'!F15</f>
        <v>1200</v>
      </c>
    </row>
    <row r="27" spans="1:2" ht="12.75">
      <c r="A27" s="53" t="s">
        <v>52</v>
      </c>
      <c r="B27" s="56">
        <f>'Expense Budget 15-16'!F16</f>
        <v>2000</v>
      </c>
    </row>
    <row r="28" spans="1:2" ht="12.75">
      <c r="A28" s="53" t="s">
        <v>53</v>
      </c>
      <c r="B28" s="56">
        <f>'Expense Budget 15-16'!F17</f>
        <v>0</v>
      </c>
    </row>
    <row r="29" spans="1:2" ht="12.75">
      <c r="A29" s="53" t="s">
        <v>5</v>
      </c>
      <c r="B29" s="56">
        <f>'Expense Budget 15-16'!F18</f>
        <v>0</v>
      </c>
    </row>
    <row r="30" spans="1:6" ht="12.75">
      <c r="A30" s="53" t="s">
        <v>26</v>
      </c>
      <c r="B30" s="56">
        <f>'Expense Budget 15-16'!F9</f>
        <v>75</v>
      </c>
      <c r="F30" s="7"/>
    </row>
    <row r="31" spans="1:6" ht="12.75">
      <c r="A31" s="53" t="s">
        <v>7</v>
      </c>
      <c r="B31" s="56">
        <f>'Expense Budget 15-16'!F10</f>
        <v>0</v>
      </c>
      <c r="F31" s="7"/>
    </row>
    <row r="32" spans="1:6" ht="12.75">
      <c r="A32" s="53" t="s">
        <v>27</v>
      </c>
      <c r="B32" s="56">
        <f>'Expense Budget 15-16'!F23</f>
        <v>125</v>
      </c>
      <c r="F32" s="7"/>
    </row>
    <row r="33" spans="1:6" ht="12.75">
      <c r="A33" s="53" t="s">
        <v>6</v>
      </c>
      <c r="B33" s="56">
        <f>'Expense Budget 15-16'!F24</f>
        <v>0</v>
      </c>
      <c r="F33" s="7"/>
    </row>
    <row r="34" spans="1:6" ht="12.75">
      <c r="A34" s="53" t="s">
        <v>2</v>
      </c>
      <c r="B34" s="56">
        <f>'Expense Budget 15-16'!F26</f>
        <v>6000</v>
      </c>
      <c r="F34" s="7"/>
    </row>
    <row r="35" spans="1:6" ht="12.75">
      <c r="A35" s="54" t="s">
        <v>123</v>
      </c>
      <c r="B35" s="57">
        <f>SUM(B21:B34)</f>
        <v>17760</v>
      </c>
      <c r="F35" s="7"/>
    </row>
    <row r="36" ht="12.75">
      <c r="F36" s="7"/>
    </row>
    <row r="37" spans="1:6" ht="12.75">
      <c r="A37" s="54" t="s">
        <v>144</v>
      </c>
      <c r="F37" s="7"/>
    </row>
    <row r="38" spans="1:6" ht="12.75">
      <c r="A38" s="53" t="s">
        <v>88</v>
      </c>
      <c r="B38" s="56">
        <f>'Expense Budget 15-16'!F45</f>
        <v>1200</v>
      </c>
      <c r="F38" s="7"/>
    </row>
    <row r="39" spans="1:6" ht="12.75">
      <c r="A39" s="53" t="s">
        <v>13</v>
      </c>
      <c r="B39" s="56">
        <f>'Expense Budget 15-16'!F33</f>
        <v>3500</v>
      </c>
      <c r="F39" s="7"/>
    </row>
    <row r="40" spans="1:6" ht="12.75">
      <c r="A40" s="53" t="s">
        <v>10</v>
      </c>
      <c r="B40" s="56">
        <f>'Expense Budget 15-16'!F32</f>
        <v>2375</v>
      </c>
      <c r="F40" s="7"/>
    </row>
    <row r="41" spans="1:6" ht="12.75">
      <c r="A41" s="53" t="s">
        <v>69</v>
      </c>
      <c r="B41" s="56">
        <f>'Expense Budget 15-16'!F41</f>
        <v>550</v>
      </c>
      <c r="F41" s="7"/>
    </row>
    <row r="42" spans="1:6" ht="12.75">
      <c r="A42" s="54" t="s">
        <v>123</v>
      </c>
      <c r="B42" s="57">
        <f>SUM(B38:B41)</f>
        <v>7625</v>
      </c>
      <c r="F42" s="7"/>
    </row>
    <row r="43" ht="12.75">
      <c r="F43" s="7"/>
    </row>
    <row r="44" spans="1:6" ht="12.75">
      <c r="A44" s="54" t="s">
        <v>124</v>
      </c>
      <c r="F44" s="7"/>
    </row>
    <row r="45" spans="1:6" ht="12.75">
      <c r="A45" s="53" t="s">
        <v>11</v>
      </c>
      <c r="B45" s="56">
        <f>'Expense Budget 15-16'!F31</f>
        <v>2500</v>
      </c>
      <c r="F45" s="7"/>
    </row>
    <row r="46" spans="1:6" ht="12.75">
      <c r="A46" s="53" t="s">
        <v>142</v>
      </c>
      <c r="B46" s="56">
        <f>'Expense Budget 15-16'!F54</f>
        <v>1100</v>
      </c>
      <c r="F46" s="7"/>
    </row>
    <row r="47" spans="1:6" ht="12.75">
      <c r="A47" s="53" t="s">
        <v>89</v>
      </c>
      <c r="B47" s="56">
        <f>'Expense Budget 15-16'!F46</f>
        <v>100</v>
      </c>
      <c r="F47" s="7"/>
    </row>
    <row r="48" spans="1:6" ht="12.75">
      <c r="A48" s="53" t="s">
        <v>85</v>
      </c>
      <c r="B48" s="56">
        <f>'Expense Budget 15-16'!F19</f>
        <v>500</v>
      </c>
      <c r="F48" s="7"/>
    </row>
    <row r="49" spans="1:6" ht="12.75">
      <c r="A49" s="54" t="s">
        <v>123</v>
      </c>
      <c r="B49" s="57">
        <f>SUM(B45:B48)</f>
        <v>4200</v>
      </c>
      <c r="F49" s="7"/>
    </row>
    <row r="50" ht="12.75">
      <c r="F50" s="7"/>
    </row>
    <row r="51" spans="1:6" ht="12.75">
      <c r="A51" s="54" t="s">
        <v>125</v>
      </c>
      <c r="F51" s="7"/>
    </row>
    <row r="52" spans="1:6" ht="12.75">
      <c r="A52" s="53" t="s">
        <v>141</v>
      </c>
      <c r="B52" s="56">
        <f>'Expense Budget 15-16'!F50</f>
        <v>1142</v>
      </c>
      <c r="F52" s="7"/>
    </row>
    <row r="53" spans="1:6" ht="12.75">
      <c r="A53" s="53" t="s">
        <v>92</v>
      </c>
      <c r="B53" s="56">
        <f>'Expense Budget 15-16'!F49</f>
        <v>100</v>
      </c>
      <c r="F53" s="7"/>
    </row>
    <row r="54" spans="1:6" ht="12.75">
      <c r="A54" s="54" t="s">
        <v>123</v>
      </c>
      <c r="B54" s="57">
        <f>SUM(B52:B53)</f>
        <v>1242</v>
      </c>
      <c r="F54" s="7"/>
    </row>
    <row r="55" ht="12.75">
      <c r="F55" s="7"/>
    </row>
    <row r="56" spans="1:6" ht="12.75">
      <c r="A56" s="54" t="s">
        <v>126</v>
      </c>
      <c r="F56" s="7"/>
    </row>
    <row r="57" spans="1:6" ht="12.75">
      <c r="A57" s="53" t="s">
        <v>75</v>
      </c>
      <c r="B57" s="56">
        <f>'Expense Budget 15-16'!F36</f>
        <v>250</v>
      </c>
      <c r="F57" s="7"/>
    </row>
    <row r="58" spans="1:6" ht="12.75">
      <c r="A58" s="53" t="s">
        <v>86</v>
      </c>
      <c r="B58" s="56">
        <f>'Expense Budget 15-16'!F35</f>
        <v>12000</v>
      </c>
      <c r="F58" s="7"/>
    </row>
    <row r="59" spans="1:6" ht="12.75">
      <c r="A59" s="53" t="s">
        <v>59</v>
      </c>
      <c r="B59" s="56">
        <f>'Expense Budget 15-16'!F38</f>
        <v>1800</v>
      </c>
      <c r="F59" s="7"/>
    </row>
    <row r="60" spans="1:6" ht="12.75">
      <c r="A60" s="53" t="s">
        <v>60</v>
      </c>
      <c r="B60" s="56">
        <f>'Expense Budget 15-16'!F43</f>
        <v>150</v>
      </c>
      <c r="F60" s="7"/>
    </row>
    <row r="61" spans="1:6" ht="12.75">
      <c r="A61" s="53" t="s">
        <v>65</v>
      </c>
      <c r="B61" s="56">
        <f>'Expense Budget 15-16'!F44</f>
        <v>550</v>
      </c>
      <c r="F61" s="7"/>
    </row>
    <row r="62" spans="1:6" ht="12.75">
      <c r="A62" s="53" t="s">
        <v>143</v>
      </c>
      <c r="B62" s="56">
        <f>'Expense Budget 15-16'!F34</f>
        <v>1500</v>
      </c>
      <c r="F62" s="7"/>
    </row>
    <row r="63" ht="12.75">
      <c r="A63" s="53" t="s">
        <v>127</v>
      </c>
    </row>
    <row r="64" spans="1:2" ht="12.75">
      <c r="A64" s="53" t="s">
        <v>77</v>
      </c>
      <c r="B64" s="56">
        <f>'Expense Budget 15-16'!F7</f>
        <v>250</v>
      </c>
    </row>
    <row r="65" spans="1:2" ht="12.75">
      <c r="A65" s="53" t="s">
        <v>29</v>
      </c>
      <c r="B65" s="56">
        <f>'Expense Budget 15-16'!F51</f>
        <v>500</v>
      </c>
    </row>
    <row r="66" spans="1:2" ht="12.75">
      <c r="A66" s="53" t="s">
        <v>91</v>
      </c>
      <c r="B66" s="56">
        <f>'Expense Budget 15-16'!F48</f>
        <v>1000</v>
      </c>
    </row>
    <row r="67" spans="1:2" ht="12.75">
      <c r="A67" s="53" t="s">
        <v>87</v>
      </c>
      <c r="B67" s="56">
        <f>'Expense Budget 15-16'!F40</f>
        <v>400</v>
      </c>
    </row>
    <row r="68" spans="1:2" ht="12.75">
      <c r="A68" s="54" t="s">
        <v>123</v>
      </c>
      <c r="B68" s="57">
        <f>SUM(B57:B67)</f>
        <v>18400</v>
      </c>
    </row>
    <row r="70" spans="1:2" ht="12.75">
      <c r="A70" s="54" t="s">
        <v>15</v>
      </c>
      <c r="B70" s="57">
        <f>B42+B49+B54+B68</f>
        <v>31467</v>
      </c>
    </row>
    <row r="72" ht="12.75">
      <c r="A72" s="54" t="s">
        <v>128</v>
      </c>
    </row>
    <row r="73" ht="12.75">
      <c r="A73" s="53" t="s">
        <v>129</v>
      </c>
    </row>
    <row r="74" ht="12.75">
      <c r="A74" s="53" t="s">
        <v>130</v>
      </c>
    </row>
    <row r="75" spans="1:2" ht="12.75">
      <c r="A75" s="53" t="s">
        <v>84</v>
      </c>
      <c r="B75" s="56">
        <v>200</v>
      </c>
    </row>
    <row r="76" spans="1:2" ht="12.75">
      <c r="A76" s="53" t="s">
        <v>131</v>
      </c>
      <c r="B76" s="56">
        <f>'Expense Budget 15-16'!F5</f>
        <v>500</v>
      </c>
    </row>
    <row r="77" spans="1:2" ht="12.75">
      <c r="A77" s="53" t="s">
        <v>14</v>
      </c>
      <c r="B77" s="56">
        <f>'Expense Budget 15-16'!F42</f>
        <v>125</v>
      </c>
    </row>
    <row r="78" spans="1:2" ht="12.75">
      <c r="A78" s="53" t="s">
        <v>145</v>
      </c>
      <c r="B78" s="56">
        <f>'Expense Budget 15-16'!F52</f>
        <v>5000</v>
      </c>
    </row>
    <row r="79" spans="1:2" ht="12.75">
      <c r="A79" s="53" t="s">
        <v>146</v>
      </c>
      <c r="B79" s="56">
        <f>'Expense Budget 15-16'!F53</f>
        <v>5000</v>
      </c>
    </row>
    <row r="80" spans="1:7" ht="12.75">
      <c r="A80" s="53" t="s">
        <v>132</v>
      </c>
      <c r="B80" s="56">
        <f>'Expense Budget 15-16'!F47</f>
        <v>1500</v>
      </c>
      <c r="G80" s="7"/>
    </row>
    <row r="81" spans="1:7" ht="12.75">
      <c r="A81" s="53" t="s">
        <v>32</v>
      </c>
      <c r="G81" s="6"/>
    </row>
    <row r="82" spans="1:7" ht="12.75">
      <c r="A82" s="54" t="s">
        <v>123</v>
      </c>
      <c r="B82" s="57">
        <f>SUM(B73:B81)</f>
        <v>12325</v>
      </c>
      <c r="G82" s="6"/>
    </row>
    <row r="83" ht="12.75">
      <c r="G83" s="6"/>
    </row>
    <row r="84" spans="1:7" ht="12.75">
      <c r="A84" s="54" t="s">
        <v>133</v>
      </c>
      <c r="G84" s="6"/>
    </row>
    <row r="85" spans="1:7" ht="12.75">
      <c r="A85" s="53" t="s">
        <v>134</v>
      </c>
      <c r="B85" s="56">
        <f>'Expense Budget 15-16'!F65</f>
        <v>575</v>
      </c>
      <c r="G85" s="7"/>
    </row>
    <row r="86" spans="1:7" ht="12.75">
      <c r="A86" s="53" t="s">
        <v>135</v>
      </c>
      <c r="B86" s="56">
        <f>'Expense Budget 15-16'!F70</f>
        <v>2000</v>
      </c>
      <c r="G86" s="6"/>
    </row>
    <row r="87" spans="1:7" ht="12.75">
      <c r="A87" s="53" t="s">
        <v>136</v>
      </c>
      <c r="B87" s="56">
        <f>'Expense Budget 15-16'!F72</f>
        <v>500</v>
      </c>
      <c r="G87" s="7"/>
    </row>
    <row r="88" spans="1:7" ht="12.75">
      <c r="A88" s="53" t="s">
        <v>95</v>
      </c>
      <c r="B88" s="56">
        <f>'Expense Budget 15-16'!F62</f>
        <v>125</v>
      </c>
      <c r="G88" s="7"/>
    </row>
    <row r="89" spans="1:7" ht="12.75">
      <c r="A89" s="53" t="s">
        <v>51</v>
      </c>
      <c r="B89" s="56">
        <f>'Expense Budget 15-16'!F63</f>
        <v>100</v>
      </c>
      <c r="G89" s="7"/>
    </row>
    <row r="90" spans="1:7" ht="12.75">
      <c r="A90" s="53" t="s">
        <v>17</v>
      </c>
      <c r="B90" s="56">
        <f>'Expense Budget 15-16'!F64</f>
        <v>500</v>
      </c>
      <c r="G90" s="7"/>
    </row>
    <row r="91" spans="1:7" ht="12.75">
      <c r="A91" s="53" t="s">
        <v>21</v>
      </c>
      <c r="B91" s="56">
        <f>'Expense Budget 15-16'!F66</f>
        <v>500</v>
      </c>
      <c r="G91" s="7"/>
    </row>
    <row r="92" spans="1:7" ht="12.75">
      <c r="A92" s="53" t="s">
        <v>20</v>
      </c>
      <c r="B92" s="56">
        <f>'Expense Budget 15-16'!F67</f>
        <v>300</v>
      </c>
      <c r="G92" s="7"/>
    </row>
    <row r="93" spans="1:7" ht="12.75">
      <c r="A93" s="53" t="s">
        <v>66</v>
      </c>
      <c r="B93" s="56">
        <f>'Expense Budget 15-16'!F68</f>
        <v>200</v>
      </c>
      <c r="G93" s="7"/>
    </row>
    <row r="94" spans="1:7" ht="12.75">
      <c r="A94" s="53" t="s">
        <v>32</v>
      </c>
      <c r="B94" s="56">
        <f>'Expense Budget 15-16'!F69</f>
        <v>1000</v>
      </c>
      <c r="G94" s="7"/>
    </row>
    <row r="95" spans="1:7" ht="12.75">
      <c r="A95" s="53" t="s">
        <v>18</v>
      </c>
      <c r="B95" s="56">
        <f>'Expense Budget 15-16'!F71</f>
        <v>200</v>
      </c>
      <c r="G95" s="7"/>
    </row>
    <row r="96" spans="1:2" ht="12.75">
      <c r="A96" s="53" t="s">
        <v>147</v>
      </c>
      <c r="B96" s="56">
        <f>'Expense Budget 15-16'!F73</f>
        <v>200</v>
      </c>
    </row>
    <row r="97" spans="1:2" ht="12.75">
      <c r="A97" s="54" t="s">
        <v>123</v>
      </c>
      <c r="B97" s="57">
        <f>SUM(B85:B96)</f>
        <v>6200</v>
      </c>
    </row>
    <row r="99" spans="1:2" ht="12.75">
      <c r="A99" s="54" t="s">
        <v>140</v>
      </c>
      <c r="B99" s="57">
        <f>B35+B42+B49+B54+B68+B82+B97</f>
        <v>67752</v>
      </c>
    </row>
  </sheetData>
  <sheetProtection/>
  <printOptions/>
  <pageMargins left="0.75" right="0.75" top="1" bottom="1" header="0.3" footer="0.3"/>
  <pageSetup fitToHeight="1" fitToWidth="1" orientation="portrait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">
      <selection activeCell="C25" sqref="C25"/>
    </sheetView>
  </sheetViews>
  <sheetFormatPr defaultColWidth="7.28125" defaultRowHeight="12.75"/>
  <cols>
    <col min="1" max="4" width="11.140625" style="0" customWidth="1"/>
    <col min="5" max="8" width="7.28125" style="0" customWidth="1"/>
    <col min="9" max="9" width="10.7109375" style="0" bestFit="1" customWidth="1"/>
    <col min="10" max="10" width="8.8515625" style="0" bestFit="1" customWidth="1"/>
  </cols>
  <sheetData>
    <row r="1" ht="12.75">
      <c r="A1" t="s">
        <v>98</v>
      </c>
    </row>
    <row r="2" ht="12.75">
      <c r="A2" t="s">
        <v>2</v>
      </c>
    </row>
    <row r="3" ht="12.75">
      <c r="A3" t="s">
        <v>150</v>
      </c>
    </row>
    <row r="4" ht="12.75">
      <c r="B4" s="23"/>
    </row>
    <row r="5" spans="1:4" ht="12.75">
      <c r="A5" s="62" t="s">
        <v>151</v>
      </c>
      <c r="B5" s="62" t="s">
        <v>153</v>
      </c>
      <c r="C5" s="63" t="s">
        <v>154</v>
      </c>
      <c r="D5" s="62" t="s">
        <v>63</v>
      </c>
    </row>
    <row r="6" spans="1:4" ht="12.75">
      <c r="A6" t="s">
        <v>156</v>
      </c>
      <c r="B6" s="24">
        <v>150</v>
      </c>
      <c r="C6" s="23"/>
      <c r="D6" s="23">
        <f>B6-C6</f>
        <v>150</v>
      </c>
    </row>
    <row r="7" spans="1:4" ht="12.75">
      <c r="A7" t="s">
        <v>157</v>
      </c>
      <c r="B7" s="24">
        <v>150</v>
      </c>
      <c r="C7" s="23">
        <f>90.64+40.76</f>
        <v>131.4</v>
      </c>
      <c r="D7" s="23">
        <f aca="true" t="shared" si="0" ref="D7:D34">B7-C7</f>
        <v>18.599999999999994</v>
      </c>
    </row>
    <row r="8" spans="1:4" ht="12.75">
      <c r="A8" t="s">
        <v>158</v>
      </c>
      <c r="B8" s="24">
        <v>150</v>
      </c>
      <c r="C8" s="23">
        <f>104.32+32.72</f>
        <v>137.04</v>
      </c>
      <c r="D8" s="23">
        <f t="shared" si="0"/>
        <v>12.960000000000008</v>
      </c>
    </row>
    <row r="9" spans="1:4" ht="12.75">
      <c r="A9" t="s">
        <v>159</v>
      </c>
      <c r="B9" s="24">
        <v>150</v>
      </c>
      <c r="C9" s="23"/>
      <c r="D9" s="23">
        <f t="shared" si="0"/>
        <v>150</v>
      </c>
    </row>
    <row r="10" spans="1:4" ht="12.75">
      <c r="A10" t="s">
        <v>160</v>
      </c>
      <c r="B10" s="24">
        <v>150</v>
      </c>
      <c r="C10" s="23">
        <f>147.19+15.27</f>
        <v>162.46</v>
      </c>
      <c r="D10" s="23">
        <f t="shared" si="0"/>
        <v>-12.460000000000008</v>
      </c>
    </row>
    <row r="11" spans="1:4" ht="12.75">
      <c r="A11" t="s">
        <v>161</v>
      </c>
      <c r="B11" s="24">
        <v>150</v>
      </c>
      <c r="C11" s="23">
        <f>15.27+22.9</f>
        <v>38.17</v>
      </c>
      <c r="D11" s="23">
        <f t="shared" si="0"/>
        <v>111.83</v>
      </c>
    </row>
    <row r="12" spans="1:4" ht="12.75">
      <c r="A12" t="s">
        <v>162</v>
      </c>
      <c r="B12" s="24">
        <v>150</v>
      </c>
      <c r="C12" s="23">
        <f>125.66+24+15.27+22.09</f>
        <v>187.02</v>
      </c>
      <c r="D12" s="23">
        <f t="shared" si="0"/>
        <v>-37.02000000000001</v>
      </c>
    </row>
    <row r="13" spans="1:4" ht="12.75">
      <c r="A13" t="s">
        <v>163</v>
      </c>
      <c r="B13" s="24">
        <v>150</v>
      </c>
      <c r="C13" s="23">
        <f>15.27+137.13</f>
        <v>152.4</v>
      </c>
      <c r="D13" s="23">
        <f t="shared" si="0"/>
        <v>-2.4000000000000057</v>
      </c>
    </row>
    <row r="14" spans="1:4" ht="12.75">
      <c r="A14" t="s">
        <v>164</v>
      </c>
      <c r="B14" s="24">
        <v>150</v>
      </c>
      <c r="C14" s="23">
        <f>57.03+9.25+27.9</f>
        <v>94.18</v>
      </c>
      <c r="D14" s="23">
        <f t="shared" si="0"/>
        <v>55.81999999999999</v>
      </c>
    </row>
    <row r="15" spans="1:4" ht="12.75">
      <c r="A15" t="s">
        <v>165</v>
      </c>
      <c r="B15" s="24">
        <v>150</v>
      </c>
      <c r="C15" s="23">
        <f>57.03+9.25</f>
        <v>66.28</v>
      </c>
      <c r="D15" s="23">
        <f t="shared" si="0"/>
        <v>83.72</v>
      </c>
    </row>
    <row r="16" spans="1:4" ht="12.75">
      <c r="A16" t="s">
        <v>166</v>
      </c>
      <c r="B16" s="24">
        <v>150</v>
      </c>
      <c r="C16" s="23">
        <f>57.03+9.25</f>
        <v>66.28</v>
      </c>
      <c r="D16" s="23">
        <f t="shared" si="0"/>
        <v>83.72</v>
      </c>
    </row>
    <row r="17" spans="1:10" ht="12.75">
      <c r="A17" t="s">
        <v>167</v>
      </c>
      <c r="B17" s="24">
        <v>150</v>
      </c>
      <c r="C17" s="23">
        <f>73.4+9.25+57.03</f>
        <v>139.68</v>
      </c>
      <c r="D17" s="23">
        <f t="shared" si="0"/>
        <v>10.319999999999993</v>
      </c>
      <c r="J17" t="s">
        <v>191</v>
      </c>
    </row>
    <row r="18" spans="1:4" ht="12.75">
      <c r="A18" t="s">
        <v>168</v>
      </c>
      <c r="B18" s="24">
        <v>150</v>
      </c>
      <c r="C18" s="23">
        <v>150</v>
      </c>
      <c r="D18" s="23">
        <f t="shared" si="0"/>
        <v>0</v>
      </c>
    </row>
    <row r="19" spans="1:4" ht="12.75">
      <c r="A19" t="s">
        <v>169</v>
      </c>
      <c r="B19" s="24">
        <v>150</v>
      </c>
      <c r="C19" s="23">
        <v>150</v>
      </c>
      <c r="D19" s="23">
        <f t="shared" si="0"/>
        <v>0</v>
      </c>
    </row>
    <row r="20" spans="1:4" ht="12.75">
      <c r="A20" t="s">
        <v>170</v>
      </c>
      <c r="B20" s="24">
        <v>150</v>
      </c>
      <c r="C20" s="23">
        <f>69+39.96</f>
        <v>108.96000000000001</v>
      </c>
      <c r="D20" s="23">
        <f t="shared" si="0"/>
        <v>41.03999999999999</v>
      </c>
    </row>
    <row r="21" spans="1:4" ht="12.75">
      <c r="A21" t="s">
        <v>171</v>
      </c>
      <c r="B21" s="24">
        <v>150</v>
      </c>
      <c r="C21" s="23">
        <v>150</v>
      </c>
      <c r="D21" s="23">
        <f t="shared" si="0"/>
        <v>0</v>
      </c>
    </row>
    <row r="22" spans="1:4" ht="12.75">
      <c r="A22" t="s">
        <v>172</v>
      </c>
      <c r="B22" s="24">
        <v>150</v>
      </c>
      <c r="C22" s="23">
        <v>100</v>
      </c>
      <c r="D22" s="23">
        <f t="shared" si="0"/>
        <v>50</v>
      </c>
    </row>
    <row r="23" spans="1:4" ht="12.75">
      <c r="A23" t="s">
        <v>173</v>
      </c>
      <c r="B23" s="24">
        <v>150</v>
      </c>
      <c r="C23" s="23"/>
      <c r="D23" s="23">
        <f t="shared" si="0"/>
        <v>150</v>
      </c>
    </row>
    <row r="24" spans="1:4" ht="12.75">
      <c r="A24" t="s">
        <v>174</v>
      </c>
      <c r="B24" s="24">
        <v>150</v>
      </c>
      <c r="C24" s="23">
        <f>159.97+94.95+26.45</f>
        <v>281.37</v>
      </c>
      <c r="D24" s="23">
        <f t="shared" si="0"/>
        <v>-131.37</v>
      </c>
    </row>
    <row r="25" spans="1:4" ht="12.75">
      <c r="A25" t="s">
        <v>175</v>
      </c>
      <c r="B25" s="24">
        <v>150</v>
      </c>
      <c r="C25" s="23">
        <v>116.87</v>
      </c>
      <c r="D25" s="23">
        <f t="shared" si="0"/>
        <v>33.129999999999995</v>
      </c>
    </row>
    <row r="26" spans="1:4" ht="12.75">
      <c r="A26" t="s">
        <v>176</v>
      </c>
      <c r="B26" s="24">
        <v>150</v>
      </c>
      <c r="C26" s="23">
        <f>77.13+63.35</f>
        <v>140.48</v>
      </c>
      <c r="D26" s="23">
        <f t="shared" si="0"/>
        <v>9.52000000000001</v>
      </c>
    </row>
    <row r="27" spans="1:4" ht="12.75">
      <c r="A27" t="s">
        <v>177</v>
      </c>
      <c r="B27" s="24">
        <v>150</v>
      </c>
      <c r="C27" s="23">
        <v>151.14</v>
      </c>
      <c r="D27" s="23">
        <f t="shared" si="0"/>
        <v>-1.1399999999999864</v>
      </c>
    </row>
    <row r="28" spans="1:4" ht="12.75">
      <c r="A28" t="s">
        <v>178</v>
      </c>
      <c r="B28" s="24">
        <v>150</v>
      </c>
      <c r="C28" s="23">
        <f>45.38+38.5</f>
        <v>83.88</v>
      </c>
      <c r="D28" s="23">
        <f t="shared" si="0"/>
        <v>66.12</v>
      </c>
    </row>
    <row r="29" spans="1:4" ht="12.75">
      <c r="A29" t="s">
        <v>179</v>
      </c>
      <c r="B29" s="24">
        <v>150</v>
      </c>
      <c r="C29" s="23">
        <v>150</v>
      </c>
      <c r="D29" s="23">
        <f t="shared" si="0"/>
        <v>0</v>
      </c>
    </row>
    <row r="30" spans="1:4" ht="12.75">
      <c r="A30" t="s">
        <v>180</v>
      </c>
      <c r="B30" s="24">
        <v>150</v>
      </c>
      <c r="C30" s="23"/>
      <c r="D30" s="23">
        <f t="shared" si="0"/>
        <v>150</v>
      </c>
    </row>
    <row r="31" spans="1:4" ht="12.75">
      <c r="A31" t="s">
        <v>181</v>
      </c>
      <c r="B31" s="24">
        <v>150</v>
      </c>
      <c r="C31" s="23"/>
      <c r="D31" s="23">
        <f t="shared" si="0"/>
        <v>150</v>
      </c>
    </row>
    <row r="32" spans="1:4" ht="12.75">
      <c r="A32" t="s">
        <v>184</v>
      </c>
      <c r="B32" s="24">
        <v>150</v>
      </c>
      <c r="C32" s="23">
        <f>24.95+112.97</f>
        <v>137.92</v>
      </c>
      <c r="D32" s="23">
        <f t="shared" si="0"/>
        <v>12.080000000000013</v>
      </c>
    </row>
    <row r="33" spans="1:4" ht="12.75">
      <c r="A33" t="s">
        <v>183</v>
      </c>
      <c r="B33" s="24">
        <v>150</v>
      </c>
      <c r="C33" s="23">
        <v>150</v>
      </c>
      <c r="D33" s="23">
        <f t="shared" si="0"/>
        <v>0</v>
      </c>
    </row>
    <row r="34" spans="1:4" ht="12.75">
      <c r="A34" t="s">
        <v>199</v>
      </c>
      <c r="B34" s="24">
        <v>150</v>
      </c>
      <c r="C34" s="23">
        <v>100</v>
      </c>
      <c r="D34" s="23">
        <f t="shared" si="0"/>
        <v>50</v>
      </c>
    </row>
    <row r="35" spans="1:4" ht="12.75">
      <c r="A35" t="s">
        <v>190</v>
      </c>
      <c r="B35" s="24"/>
      <c r="C35" s="23"/>
      <c r="D35" s="23"/>
    </row>
    <row r="36" spans="2:9" ht="13.5" thickBot="1">
      <c r="B36" s="65">
        <f>SUM(B6:B35)</f>
        <v>4350</v>
      </c>
      <c r="C36" s="65">
        <f>SUM(C6:C35)</f>
        <v>3145.53</v>
      </c>
      <c r="D36" s="65">
        <f>SUM(D6:D35)</f>
        <v>1204.4699999999998</v>
      </c>
      <c r="I36" s="24"/>
    </row>
    <row r="37" spans="3:4" ht="13.5" thickTop="1">
      <c r="C37" s="23"/>
      <c r="D37" s="23"/>
    </row>
    <row r="38" spans="3:10" ht="12.75">
      <c r="C38" s="23"/>
      <c r="D38" s="23"/>
      <c r="J38" s="24"/>
    </row>
    <row r="39" spans="3:4" ht="12.75">
      <c r="C39" s="23"/>
      <c r="D39" s="23"/>
    </row>
    <row r="40" spans="3:4" ht="12.75">
      <c r="C40" s="23"/>
      <c r="D40" s="23"/>
    </row>
    <row r="41" spans="3:4" ht="12.75">
      <c r="C41" s="23"/>
      <c r="D41" s="23"/>
    </row>
  </sheetData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0" sqref="D20"/>
    </sheetView>
  </sheetViews>
  <sheetFormatPr defaultColWidth="7.28125" defaultRowHeight="12.75"/>
  <cols>
    <col min="1" max="7" width="11.140625" style="0" customWidth="1"/>
  </cols>
  <sheetData>
    <row r="1" ht="12.75">
      <c r="A1" t="s">
        <v>98</v>
      </c>
    </row>
    <row r="2" ht="12.75">
      <c r="A2" t="s">
        <v>97</v>
      </c>
    </row>
    <row r="3" ht="12.75">
      <c r="A3" t="s">
        <v>150</v>
      </c>
    </row>
    <row r="5" ht="12.75">
      <c r="C5" s="23">
        <v>2460</v>
      </c>
    </row>
    <row r="6" ht="12.75">
      <c r="C6" s="23">
        <f>C5/B35</f>
        <v>4.263431542461006</v>
      </c>
    </row>
    <row r="7" spans="1:7" ht="12.75">
      <c r="A7" s="62" t="s">
        <v>151</v>
      </c>
      <c r="B7" s="62" t="s">
        <v>152</v>
      </c>
      <c r="C7" s="62" t="s">
        <v>153</v>
      </c>
      <c r="D7" s="63" t="s">
        <v>154</v>
      </c>
      <c r="E7" s="63"/>
      <c r="F7" s="62" t="s">
        <v>155</v>
      </c>
      <c r="G7" s="62" t="s">
        <v>63</v>
      </c>
    </row>
    <row r="8" spans="1:7" ht="12.75">
      <c r="A8" t="s">
        <v>156</v>
      </c>
      <c r="B8">
        <v>22</v>
      </c>
      <c r="C8" s="24">
        <f aca="true" t="shared" si="0" ref="C8:C33">B8*$C$6</f>
        <v>93.79549393414213</v>
      </c>
      <c r="D8" s="23"/>
      <c r="E8" s="23"/>
      <c r="F8" s="23">
        <f aca="true" t="shared" si="1" ref="F8:F34">SUM(D8:E8)</f>
        <v>0</v>
      </c>
      <c r="G8" s="23">
        <f aca="true" t="shared" si="2" ref="G8:G34">C8-F8</f>
        <v>93.79549393414213</v>
      </c>
    </row>
    <row r="9" spans="1:7" ht="12.75">
      <c r="A9" t="s">
        <v>157</v>
      </c>
      <c r="B9">
        <v>22</v>
      </c>
      <c r="C9" s="24">
        <f t="shared" si="0"/>
        <v>93.79549393414213</v>
      </c>
      <c r="D9" s="23"/>
      <c r="E9" s="23"/>
      <c r="F9" s="23">
        <f t="shared" si="1"/>
        <v>0</v>
      </c>
      <c r="G9" s="23">
        <f t="shared" si="2"/>
        <v>93.79549393414213</v>
      </c>
    </row>
    <row r="10" spans="1:7" ht="12.75">
      <c r="A10" t="s">
        <v>158</v>
      </c>
      <c r="B10">
        <v>23</v>
      </c>
      <c r="C10" s="24">
        <f t="shared" si="0"/>
        <v>98.05892547660314</v>
      </c>
      <c r="D10" s="23"/>
      <c r="E10" s="23"/>
      <c r="F10" s="23">
        <f t="shared" si="1"/>
        <v>0</v>
      </c>
      <c r="G10" s="23">
        <f t="shared" si="2"/>
        <v>98.05892547660314</v>
      </c>
    </row>
    <row r="11" spans="1:7" ht="12.75">
      <c r="A11" t="s">
        <v>159</v>
      </c>
      <c r="B11">
        <v>23</v>
      </c>
      <c r="C11" s="24">
        <f t="shared" si="0"/>
        <v>98.05892547660314</v>
      </c>
      <c r="D11" s="23">
        <f>53.21+37.24</f>
        <v>90.45</v>
      </c>
      <c r="E11" s="23"/>
      <c r="F11" s="23">
        <f>SUM(D11:E11)</f>
        <v>90.45</v>
      </c>
      <c r="G11" s="23">
        <f t="shared" si="2"/>
        <v>7.608925476603133</v>
      </c>
    </row>
    <row r="12" spans="1:7" ht="12.75">
      <c r="A12" t="s">
        <v>160</v>
      </c>
      <c r="B12">
        <v>21</v>
      </c>
      <c r="C12" s="24">
        <f t="shared" si="0"/>
        <v>89.53206239168112</v>
      </c>
      <c r="D12" s="23">
        <f>8.77+11.29+26.49</f>
        <v>46.55</v>
      </c>
      <c r="E12" s="23"/>
      <c r="F12" s="23">
        <f t="shared" si="1"/>
        <v>46.55</v>
      </c>
      <c r="G12" s="23">
        <f t="shared" si="2"/>
        <v>42.982062391681126</v>
      </c>
    </row>
    <row r="13" spans="1:7" ht="12.75">
      <c r="A13" t="s">
        <v>161</v>
      </c>
      <c r="B13">
        <v>19</v>
      </c>
      <c r="C13" s="24">
        <f t="shared" si="0"/>
        <v>81.00519930675911</v>
      </c>
      <c r="D13" s="23">
        <f>8.76+29.89+22.78+26.49+29.01</f>
        <v>116.93</v>
      </c>
      <c r="E13" s="23"/>
      <c r="F13" s="23">
        <f t="shared" si="1"/>
        <v>116.93</v>
      </c>
      <c r="G13" s="23">
        <f t="shared" si="2"/>
        <v>-35.9248006932409</v>
      </c>
    </row>
    <row r="14" spans="1:7" ht="12.75">
      <c r="A14" t="s">
        <v>162</v>
      </c>
      <c r="B14">
        <v>21</v>
      </c>
      <c r="C14" s="24">
        <f t="shared" si="0"/>
        <v>89.53206239168112</v>
      </c>
      <c r="D14" s="23">
        <f>8.77+11.29+26.49+47.44</f>
        <v>93.99</v>
      </c>
      <c r="E14" s="23"/>
      <c r="F14" s="23">
        <f t="shared" si="1"/>
        <v>93.99</v>
      </c>
      <c r="G14" s="23">
        <f t="shared" si="2"/>
        <v>-4.457937608318872</v>
      </c>
    </row>
    <row r="15" spans="1:7" ht="12.75">
      <c r="A15" t="s">
        <v>163</v>
      </c>
      <c r="B15">
        <v>22</v>
      </c>
      <c r="C15" s="24">
        <f t="shared" si="0"/>
        <v>93.79549393414213</v>
      </c>
      <c r="D15" s="23">
        <f>8.76+11.29+7.98+26.49+22</f>
        <v>76.52</v>
      </c>
      <c r="E15" s="23"/>
      <c r="F15" s="23">
        <f t="shared" si="1"/>
        <v>76.52</v>
      </c>
      <c r="G15" s="23">
        <f t="shared" si="2"/>
        <v>17.275493934142133</v>
      </c>
    </row>
    <row r="16" spans="1:7" ht="12.75">
      <c r="A16" t="s">
        <v>164</v>
      </c>
      <c r="B16">
        <v>24</v>
      </c>
      <c r="C16" s="24">
        <f t="shared" si="0"/>
        <v>102.32235701906413</v>
      </c>
      <c r="D16" s="23">
        <f>20.25+12.82+22.31+9.25+9.98+28.8+3.76+29.55+17.47+3.76</f>
        <v>157.95</v>
      </c>
      <c r="E16" s="23"/>
      <c r="F16" s="23">
        <f>SUM(D16:E16)</f>
        <v>157.95</v>
      </c>
      <c r="G16" s="23">
        <f t="shared" si="2"/>
        <v>-55.62764298093586</v>
      </c>
    </row>
    <row r="17" spans="1:7" ht="12.75">
      <c r="A17" t="s">
        <v>165</v>
      </c>
      <c r="B17">
        <v>24</v>
      </c>
      <c r="C17" s="24">
        <f t="shared" si="0"/>
        <v>102.32235701906413</v>
      </c>
      <c r="D17" s="23">
        <f>20.25+12.82+22.31+9.25+28.8+3.74+29.55+17.47+3.76</f>
        <v>147.95</v>
      </c>
      <c r="E17" s="23"/>
      <c r="F17" s="23">
        <f t="shared" si="1"/>
        <v>147.95</v>
      </c>
      <c r="G17" s="23">
        <f t="shared" si="2"/>
        <v>-45.62764298093586</v>
      </c>
    </row>
    <row r="18" spans="1:7" ht="12.75">
      <c r="A18" t="s">
        <v>166</v>
      </c>
      <c r="B18">
        <v>24</v>
      </c>
      <c r="C18" s="24">
        <f t="shared" si="0"/>
        <v>102.32235701906413</v>
      </c>
      <c r="D18" s="23">
        <f>20.25+12.81+22.3+9.25+28.8+8+3.74+29.55+17.47+3.76</f>
        <v>155.92999999999998</v>
      </c>
      <c r="E18" s="23"/>
      <c r="F18" s="23">
        <f t="shared" si="1"/>
        <v>155.92999999999998</v>
      </c>
      <c r="G18" s="23">
        <f t="shared" si="2"/>
        <v>-53.60764298093585</v>
      </c>
    </row>
    <row r="19" spans="1:7" ht="12.75">
      <c r="A19" t="s">
        <v>167</v>
      </c>
      <c r="B19">
        <v>24</v>
      </c>
      <c r="C19" s="24">
        <f t="shared" si="0"/>
        <v>102.32235701906413</v>
      </c>
      <c r="D19" s="23">
        <f>9.25+20.25+12.82+22.3+28.8+3.74+29.57+17.49+3.76</f>
        <v>147.98</v>
      </c>
      <c r="E19" s="23"/>
      <c r="F19" s="23">
        <f t="shared" si="1"/>
        <v>147.98</v>
      </c>
      <c r="G19" s="23">
        <f t="shared" si="2"/>
        <v>-45.65764298093586</v>
      </c>
    </row>
    <row r="20" spans="1:7" ht="12.75">
      <c r="A20" t="s">
        <v>168</v>
      </c>
      <c r="B20">
        <v>25</v>
      </c>
      <c r="C20" s="24">
        <f t="shared" si="0"/>
        <v>106.58578856152513</v>
      </c>
      <c r="D20" s="23">
        <f>87.95+28.09</f>
        <v>116.04</v>
      </c>
      <c r="E20" s="23"/>
      <c r="F20" s="23">
        <f t="shared" si="1"/>
        <v>116.04</v>
      </c>
      <c r="G20" s="23">
        <f t="shared" si="2"/>
        <v>-9.454211438474871</v>
      </c>
    </row>
    <row r="21" spans="1:7" ht="12.75">
      <c r="A21" t="s">
        <v>169</v>
      </c>
      <c r="B21">
        <v>25</v>
      </c>
      <c r="C21" s="24">
        <f t="shared" si="0"/>
        <v>106.58578856152513</v>
      </c>
      <c r="D21" s="23">
        <f>23.65+22.07+5.06+28.09</f>
        <v>78.87</v>
      </c>
      <c r="E21" s="23"/>
      <c r="F21" s="23">
        <f t="shared" si="1"/>
        <v>78.87</v>
      </c>
      <c r="G21" s="23">
        <f t="shared" si="2"/>
        <v>27.71578856152513</v>
      </c>
    </row>
    <row r="22" spans="1:7" ht="12.75">
      <c r="A22" t="s">
        <v>170</v>
      </c>
      <c r="B22">
        <v>23</v>
      </c>
      <c r="C22" s="24">
        <f t="shared" si="0"/>
        <v>98.05892547660314</v>
      </c>
      <c r="D22" s="23">
        <f>55.7+28.07</f>
        <v>83.77000000000001</v>
      </c>
      <c r="E22" s="23"/>
      <c r="F22" s="23">
        <f t="shared" si="1"/>
        <v>83.77000000000001</v>
      </c>
      <c r="G22" s="23">
        <f t="shared" si="2"/>
        <v>14.288925476603126</v>
      </c>
    </row>
    <row r="23" spans="1:7" ht="12.75">
      <c r="A23" t="s">
        <v>171</v>
      </c>
      <c r="B23">
        <v>25</v>
      </c>
      <c r="C23" s="24">
        <f t="shared" si="0"/>
        <v>106.58578856152513</v>
      </c>
      <c r="D23" s="23">
        <f>63.67+28.09</f>
        <v>91.76</v>
      </c>
      <c r="E23" s="23"/>
      <c r="F23" s="23">
        <f t="shared" si="1"/>
        <v>91.76</v>
      </c>
      <c r="G23" s="23">
        <f t="shared" si="2"/>
        <v>14.82578856152513</v>
      </c>
    </row>
    <row r="24" spans="1:7" ht="12.75">
      <c r="A24" t="s">
        <v>172</v>
      </c>
      <c r="B24">
        <v>22</v>
      </c>
      <c r="C24" s="24">
        <f t="shared" si="0"/>
        <v>93.79549393414213</v>
      </c>
      <c r="D24" s="23">
        <f>31.05+21.73</f>
        <v>52.78</v>
      </c>
      <c r="E24" s="23"/>
      <c r="F24" s="23">
        <f t="shared" si="1"/>
        <v>52.78</v>
      </c>
      <c r="G24" s="23">
        <f t="shared" si="2"/>
        <v>41.01549393414213</v>
      </c>
    </row>
    <row r="25" spans="1:7" ht="12.75">
      <c r="A25" t="s">
        <v>173</v>
      </c>
      <c r="B25">
        <v>21</v>
      </c>
      <c r="C25" s="24">
        <f t="shared" si="0"/>
        <v>89.53206239168112</v>
      </c>
      <c r="D25" s="23">
        <f>33.02+41.39</f>
        <v>74.41</v>
      </c>
      <c r="E25" s="23"/>
      <c r="F25" s="23">
        <f t="shared" si="1"/>
        <v>74.41</v>
      </c>
      <c r="G25" s="23">
        <f t="shared" si="2"/>
        <v>15.122062391681126</v>
      </c>
    </row>
    <row r="26" spans="1:7" ht="12.75">
      <c r="A26" t="s">
        <v>174</v>
      </c>
      <c r="B26">
        <v>21</v>
      </c>
      <c r="C26" s="24">
        <f t="shared" si="0"/>
        <v>89.53206239168112</v>
      </c>
      <c r="D26" s="23">
        <f>31.05+21.74</f>
        <v>52.79</v>
      </c>
      <c r="E26" s="23"/>
      <c r="F26" s="23">
        <f>SUM(D26:E26)</f>
        <v>52.79</v>
      </c>
      <c r="G26" s="23">
        <f t="shared" si="2"/>
        <v>36.742062391681124</v>
      </c>
    </row>
    <row r="27" spans="1:7" ht="12.75">
      <c r="A27" t="s">
        <v>175</v>
      </c>
      <c r="B27">
        <v>21</v>
      </c>
      <c r="C27" s="24">
        <f t="shared" si="0"/>
        <v>89.53206239168112</v>
      </c>
      <c r="D27" s="23">
        <f>27.03+18.22</f>
        <v>45.25</v>
      </c>
      <c r="E27" s="23"/>
      <c r="F27" s="23">
        <f t="shared" si="1"/>
        <v>45.25</v>
      </c>
      <c r="G27" s="23">
        <f t="shared" si="2"/>
        <v>44.28206239168112</v>
      </c>
    </row>
    <row r="28" spans="1:7" ht="12.75">
      <c r="A28" t="s">
        <v>176</v>
      </c>
      <c r="B28">
        <v>25</v>
      </c>
      <c r="C28" s="24">
        <f t="shared" si="0"/>
        <v>106.58578856152513</v>
      </c>
      <c r="D28" s="23">
        <f>49.9+56.01</f>
        <v>105.91</v>
      </c>
      <c r="E28" s="23"/>
      <c r="F28" s="23">
        <f t="shared" si="1"/>
        <v>105.91</v>
      </c>
      <c r="G28" s="23">
        <f t="shared" si="2"/>
        <v>0.6757885615251382</v>
      </c>
    </row>
    <row r="29" spans="1:7" ht="12.75">
      <c r="A29" t="s">
        <v>177</v>
      </c>
      <c r="B29">
        <v>25</v>
      </c>
      <c r="C29" s="24">
        <f t="shared" si="0"/>
        <v>106.58578856152513</v>
      </c>
      <c r="D29" s="23">
        <f>28.55+34.1+43.5</f>
        <v>106.15</v>
      </c>
      <c r="E29" s="23"/>
      <c r="F29" s="23">
        <f t="shared" si="1"/>
        <v>106.15</v>
      </c>
      <c r="G29" s="23">
        <f t="shared" si="2"/>
        <v>0.4357885615251291</v>
      </c>
    </row>
    <row r="30" spans="1:7" ht="12.75">
      <c r="A30" t="s">
        <v>178</v>
      </c>
      <c r="B30">
        <v>27</v>
      </c>
      <c r="C30" s="24">
        <f t="shared" si="0"/>
        <v>115.11265164644715</v>
      </c>
      <c r="D30" s="23">
        <f>60.22+55.55</f>
        <v>115.77</v>
      </c>
      <c r="E30" s="23"/>
      <c r="F30" s="23">
        <f t="shared" si="1"/>
        <v>115.77</v>
      </c>
      <c r="G30" s="23">
        <f t="shared" si="2"/>
        <v>-0.6573483535528482</v>
      </c>
    </row>
    <row r="31" spans="1:7" ht="12.75">
      <c r="A31" t="s">
        <v>179</v>
      </c>
      <c r="B31">
        <v>27</v>
      </c>
      <c r="C31" s="24">
        <f t="shared" si="0"/>
        <v>115.11265164644715</v>
      </c>
      <c r="D31" s="23">
        <f>15.96</f>
        <v>15.96</v>
      </c>
      <c r="E31" s="23"/>
      <c r="F31" s="23">
        <f>SUM(D31:E31)</f>
        <v>15.96</v>
      </c>
      <c r="G31" s="23">
        <f t="shared" si="2"/>
        <v>99.15265164644714</v>
      </c>
    </row>
    <row r="32" spans="1:7" ht="12.75">
      <c r="A32" t="s">
        <v>180</v>
      </c>
      <c r="B32">
        <v>11</v>
      </c>
      <c r="C32" s="24">
        <f t="shared" si="0"/>
        <v>46.897746967071065</v>
      </c>
      <c r="D32" s="23"/>
      <c r="E32" s="23"/>
      <c r="F32" s="23">
        <f>SUM(D32:E32)</f>
        <v>0</v>
      </c>
      <c r="G32" s="23">
        <f t="shared" si="2"/>
        <v>46.897746967071065</v>
      </c>
    </row>
    <row r="33" spans="1:7" ht="12.75">
      <c r="A33" t="s">
        <v>181</v>
      </c>
      <c r="B33">
        <v>10</v>
      </c>
      <c r="C33" s="24">
        <f t="shared" si="0"/>
        <v>42.63431542461006</v>
      </c>
      <c r="D33" s="23"/>
      <c r="E33" s="23"/>
      <c r="F33" s="23">
        <f t="shared" si="1"/>
        <v>0</v>
      </c>
      <c r="G33" s="23">
        <f t="shared" si="2"/>
        <v>42.63431542461006</v>
      </c>
    </row>
    <row r="34" spans="1:7" ht="12.75">
      <c r="A34" t="s">
        <v>182</v>
      </c>
      <c r="C34" s="24"/>
      <c r="D34" s="23">
        <v>24.95</v>
      </c>
      <c r="E34" s="23"/>
      <c r="F34" s="23">
        <f t="shared" si="1"/>
        <v>24.95</v>
      </c>
      <c r="G34" s="23">
        <f t="shared" si="2"/>
        <v>-24.95</v>
      </c>
    </row>
    <row r="35" spans="2:7" ht="13.5" thickBot="1">
      <c r="B35" s="64">
        <f>SUM(B8:B33)</f>
        <v>577</v>
      </c>
      <c r="C35" s="65">
        <f>SUM(C8:C34)</f>
        <v>2460.000000000001</v>
      </c>
      <c r="D35" s="65">
        <f>SUM(D8:D34)</f>
        <v>1998.66</v>
      </c>
      <c r="E35" s="65">
        <f>SUM(E8:E33)</f>
        <v>0</v>
      </c>
      <c r="F35" s="65">
        <f>SUM(F8:F34)</f>
        <v>1998.66</v>
      </c>
      <c r="G35" s="65">
        <f>SUM(G8:G34)</f>
        <v>461.34000000000026</v>
      </c>
    </row>
    <row r="36" spans="4:7" ht="13.5" thickTop="1"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15.421875" style="0" bestFit="1" customWidth="1"/>
    <col min="2" max="2" width="13.421875" style="0" bestFit="1" customWidth="1"/>
    <col min="3" max="3" width="5.421875" style="0" customWidth="1"/>
    <col min="4" max="4" width="14.00390625" style="0" bestFit="1" customWidth="1"/>
    <col min="5" max="5" width="12.00390625" style="0" bestFit="1" customWidth="1"/>
    <col min="6" max="6" width="5.421875" style="0" customWidth="1"/>
    <col min="7" max="7" width="15.8515625" style="0" bestFit="1" customWidth="1"/>
    <col min="8" max="8" width="5.421875" style="0" customWidth="1"/>
    <col min="9" max="9" width="18.7109375" style="0" bestFit="1" customWidth="1"/>
    <col min="10" max="10" width="16.7109375" style="0" bestFit="1" customWidth="1"/>
  </cols>
  <sheetData>
    <row r="1" spans="1:10" ht="12.75">
      <c r="A1" s="1" t="s">
        <v>185</v>
      </c>
      <c r="B1" s="1" t="s">
        <v>186</v>
      </c>
      <c r="C1" s="1"/>
      <c r="D1" s="1" t="s">
        <v>187</v>
      </c>
      <c r="E1" s="1" t="s">
        <v>188</v>
      </c>
      <c r="F1" s="1"/>
      <c r="G1" s="1" t="s">
        <v>189</v>
      </c>
      <c r="I1" s="1" t="s">
        <v>202</v>
      </c>
      <c r="J1" s="1" t="s">
        <v>203</v>
      </c>
    </row>
    <row r="2" spans="1:10" ht="12.75">
      <c r="A2">
        <v>822.54</v>
      </c>
      <c r="B2">
        <v>95</v>
      </c>
      <c r="D2">
        <v>802.4</v>
      </c>
      <c r="E2">
        <v>80</v>
      </c>
      <c r="G2">
        <v>74.52</v>
      </c>
      <c r="I2">
        <v>57.51</v>
      </c>
      <c r="J2">
        <v>325.95</v>
      </c>
    </row>
    <row r="3" spans="1:9" ht="12.75">
      <c r="A3">
        <v>261.7</v>
      </c>
      <c r="B3">
        <v>26</v>
      </c>
      <c r="D3">
        <v>96.97</v>
      </c>
      <c r="E3">
        <v>102</v>
      </c>
      <c r="G3">
        <v>148.97</v>
      </c>
      <c r="I3">
        <v>68.89</v>
      </c>
    </row>
    <row r="4" spans="1:9" ht="12.75">
      <c r="A4">
        <v>163.55</v>
      </c>
      <c r="B4">
        <v>600</v>
      </c>
      <c r="D4">
        <v>55.77</v>
      </c>
      <c r="E4">
        <v>108</v>
      </c>
      <c r="G4">
        <v>76.59</v>
      </c>
      <c r="I4">
        <v>106</v>
      </c>
    </row>
    <row r="5" spans="1:7" ht="12.75">
      <c r="A5">
        <v>1101.31</v>
      </c>
      <c r="B5">
        <v>470</v>
      </c>
      <c r="D5">
        <v>26.99</v>
      </c>
      <c r="E5">
        <v>108</v>
      </c>
      <c r="G5">
        <v>281.49</v>
      </c>
    </row>
    <row r="6" spans="1:7" ht="12.75">
      <c r="A6">
        <v>165.43</v>
      </c>
      <c r="B6">
        <v>135</v>
      </c>
      <c r="E6">
        <v>101</v>
      </c>
      <c r="G6">
        <v>75.83</v>
      </c>
    </row>
    <row r="7" spans="1:7" ht="12.75">
      <c r="A7">
        <v>324.47</v>
      </c>
      <c r="B7">
        <v>69</v>
      </c>
      <c r="E7">
        <v>114</v>
      </c>
      <c r="G7">
        <v>725.4</v>
      </c>
    </row>
    <row r="8" spans="1:7" ht="12.75">
      <c r="A8">
        <v>300</v>
      </c>
      <c r="B8">
        <v>453</v>
      </c>
      <c r="E8">
        <v>108</v>
      </c>
      <c r="G8">
        <v>136.45</v>
      </c>
    </row>
    <row r="9" spans="1:7" ht="12.75">
      <c r="A9">
        <v>381.32</v>
      </c>
      <c r="B9">
        <v>279</v>
      </c>
      <c r="E9">
        <v>102</v>
      </c>
      <c r="G9">
        <v>74.52</v>
      </c>
    </row>
    <row r="10" spans="1:7" ht="12.75">
      <c r="A10">
        <v>367</v>
      </c>
      <c r="B10">
        <v>92</v>
      </c>
      <c r="E10">
        <v>376.4</v>
      </c>
      <c r="G10">
        <v>45</v>
      </c>
    </row>
    <row r="11" spans="1:2" ht="12.75">
      <c r="A11">
        <v>300</v>
      </c>
      <c r="B11">
        <v>203</v>
      </c>
    </row>
    <row r="12" spans="1:2" ht="12.75">
      <c r="A12">
        <v>640.12</v>
      </c>
      <c r="B12">
        <v>335</v>
      </c>
    </row>
    <row r="13" spans="1:2" ht="12.75">
      <c r="A13">
        <v>22.98</v>
      </c>
      <c r="B13">
        <v>3169.71</v>
      </c>
    </row>
    <row r="14" ht="12.75">
      <c r="A14">
        <v>120.81</v>
      </c>
    </row>
    <row r="15" ht="12.75">
      <c r="A15">
        <v>178.87</v>
      </c>
    </row>
    <row r="18" spans="1:10" ht="12.75">
      <c r="A18" s="60">
        <f>SUM(A2:A17)</f>
        <v>5150.099999999999</v>
      </c>
      <c r="B18" s="60">
        <f aca="true" t="shared" si="0" ref="B18:G18">SUM(B2:B17)</f>
        <v>5926.71</v>
      </c>
      <c r="C18" s="60"/>
      <c r="D18" s="60">
        <f t="shared" si="0"/>
        <v>982.13</v>
      </c>
      <c r="E18" s="60">
        <f t="shared" si="0"/>
        <v>1199.4</v>
      </c>
      <c r="F18" s="60"/>
      <c r="G18" s="60">
        <f t="shared" si="0"/>
        <v>1638.7700000000002</v>
      </c>
      <c r="H18" s="60"/>
      <c r="I18" s="60">
        <f>SUM(I2:I17)</f>
        <v>232.4</v>
      </c>
      <c r="J18" s="60">
        <f>SUM(J2:J17)</f>
        <v>325.95</v>
      </c>
    </row>
    <row r="19" spans="9:10" ht="12.75">
      <c r="I19" s="1"/>
      <c r="J19" s="1"/>
    </row>
    <row r="20" spans="1:10" ht="12.75">
      <c r="A20" s="1" t="s">
        <v>123</v>
      </c>
      <c r="B20" s="1">
        <f>B18-A18</f>
        <v>776.6100000000006</v>
      </c>
      <c r="D20" s="1"/>
      <c r="E20" s="1">
        <f>E18-D18</f>
        <v>217.2700000000001</v>
      </c>
      <c r="G20" s="1">
        <f>SUM(G2:G10)</f>
        <v>1638.7700000000002</v>
      </c>
      <c r="I20" s="1"/>
      <c r="J20" s="1">
        <f>J18-I18</f>
        <v>93.54999999999998</v>
      </c>
    </row>
  </sheetData>
  <sheetProtection/>
  <printOptions/>
  <pageMargins left="0.75" right="0.75" top="1" bottom="1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4.00390625" style="0" customWidth="1"/>
    <col min="2" max="2" width="20.140625" style="0" customWidth="1"/>
    <col min="3" max="3" width="2.28125" style="0" customWidth="1"/>
    <col min="4" max="4" width="20.7109375" style="0" customWidth="1"/>
  </cols>
  <sheetData>
    <row r="1" ht="12.75">
      <c r="A1" s="10"/>
    </row>
    <row r="2" ht="12.75">
      <c r="A2" s="10"/>
    </row>
    <row r="6" ht="12.75">
      <c r="A6" s="10"/>
    </row>
    <row r="7" spans="2:4" ht="12.75">
      <c r="B7" s="10"/>
      <c r="D7" s="10"/>
    </row>
    <row r="9" ht="12.75">
      <c r="A9" s="10"/>
    </row>
    <row r="10" spans="2:4" ht="12.75">
      <c r="B10" s="10"/>
      <c r="D10" s="10"/>
    </row>
    <row r="11" spans="2:4" ht="12.75">
      <c r="B11" s="10"/>
      <c r="D11" s="10"/>
    </row>
    <row r="13" ht="12.75">
      <c r="A13" s="10"/>
    </row>
    <row r="14" spans="2:4" ht="12.75">
      <c r="B14" s="10"/>
      <c r="D14" s="52"/>
    </row>
    <row r="15" spans="2:4" ht="12.75">
      <c r="B15" s="10"/>
      <c r="D15" s="60"/>
    </row>
    <row r="18" ht="12.75">
      <c r="A18" s="10"/>
    </row>
    <row r="19" spans="2:4" ht="12.75">
      <c r="B19" s="10"/>
      <c r="D19" s="10"/>
    </row>
    <row r="20" ht="12.75">
      <c r="D20" s="52"/>
    </row>
    <row r="24" ht="12.75">
      <c r="D24" s="52"/>
    </row>
    <row r="29" ht="12.75">
      <c r="D29" s="52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</dc:creator>
  <cp:keywords/>
  <dc:description/>
  <cp:lastModifiedBy>Microsoft Office User</cp:lastModifiedBy>
  <cp:lastPrinted>2016-03-13T22:23:07Z</cp:lastPrinted>
  <dcterms:created xsi:type="dcterms:W3CDTF">2009-08-11T20:46:57Z</dcterms:created>
  <dcterms:modified xsi:type="dcterms:W3CDTF">2016-04-11T19:39:23Z</dcterms:modified>
  <cp:category/>
  <cp:version/>
  <cp:contentType/>
  <cp:contentStatus/>
</cp:coreProperties>
</file>